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E116F5DE-0D06-40E9-86BA-234972CE449E}" xr6:coauthVersionLast="47" xr6:coauthVersionMax="47" xr10:uidLastSave="{00000000-0000-0000-0000-000000000000}"/>
  <workbookProtection workbookPassword="CA1B" lockStructure="1"/>
  <bookViews>
    <workbookView xWindow="3111" yWindow="274" windowWidth="21575" windowHeight="12892" tabRatio="802" activeTab="5" xr2:uid="{00000000-000D-0000-FFFF-FFFF00000000}"/>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47" l="1"/>
  <c r="A2" i="61" s="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F1" i="1" s="1"/>
  <c r="J14" i="15"/>
  <c r="F1" i="4" s="1"/>
  <c r="J20" i="15"/>
  <c r="F1" i="5"/>
  <c r="J26" i="15"/>
  <c r="J32" i="15"/>
  <c r="J38" i="15"/>
  <c r="F1" i="8"/>
  <c r="J44" i="15"/>
  <c r="F1" i="9"/>
  <c r="J50" i="15"/>
  <c r="F1" i="10" s="1"/>
  <c r="J56" i="15"/>
  <c r="F1" i="108"/>
  <c r="J62" i="15"/>
  <c r="F1" i="107" s="1"/>
  <c r="J68" i="15"/>
  <c r="F1" i="106" s="1"/>
  <c r="J74" i="15"/>
  <c r="J80" i="15"/>
  <c r="F1" i="104"/>
  <c r="J86" i="15"/>
  <c r="F1" i="103" s="1"/>
  <c r="J92" i="15"/>
  <c r="J98" i="15"/>
  <c r="J104" i="15"/>
  <c r="J110" i="15"/>
  <c r="F1" i="99"/>
  <c r="J116" i="15"/>
  <c r="F1" i="98" s="1"/>
  <c r="J122" i="15"/>
  <c r="F1" i="97"/>
  <c r="J128" i="15"/>
  <c r="J134" i="15"/>
  <c r="F1" i="95" s="1"/>
  <c r="J140" i="15"/>
  <c r="F1" i="94" s="1"/>
  <c r="J146" i="15"/>
  <c r="J152" i="15"/>
  <c r="F1" i="92" s="1"/>
  <c r="J158" i="15"/>
  <c r="F1" i="91" s="1"/>
  <c r="J164" i="15"/>
  <c r="F1" i="90" s="1"/>
  <c r="J170" i="15"/>
  <c r="F1" i="89" s="1"/>
  <c r="J176" i="15"/>
  <c r="F1" i="88" s="1"/>
  <c r="J182" i="15"/>
  <c r="F1" i="87" s="1"/>
  <c r="J188" i="15"/>
  <c r="J194" i="15"/>
  <c r="E8" i="123"/>
  <c r="E21" i="123" s="1"/>
  <c r="C11" i="123"/>
  <c r="C12" i="123"/>
  <c r="E12" i="123"/>
  <c r="C13" i="123"/>
  <c r="C14" i="123"/>
  <c r="E14" i="123"/>
  <c r="C15" i="123"/>
  <c r="C16" i="123"/>
  <c r="C17" i="123"/>
  <c r="C18" i="123"/>
  <c r="C19" i="123"/>
  <c r="C20" i="123"/>
  <c r="E20" i="123"/>
  <c r="C21" i="123"/>
  <c r="C22" i="123"/>
  <c r="E22" i="123"/>
  <c r="C23" i="123"/>
  <c r="C24" i="123"/>
  <c r="E24" i="123"/>
  <c r="C25" i="123"/>
  <c r="C26" i="123"/>
  <c r="C27" i="123"/>
  <c r="C28" i="123"/>
  <c r="C29" i="123"/>
  <c r="C30" i="123"/>
  <c r="C31" i="123"/>
  <c r="C32" i="123"/>
  <c r="E32" i="123"/>
  <c r="C33" i="123"/>
  <c r="C34" i="123"/>
  <c r="E34" i="123"/>
  <c r="C35" i="123"/>
  <c r="E35" i="123"/>
  <c r="C36" i="123"/>
  <c r="C37" i="123"/>
  <c r="C38" i="123"/>
  <c r="C39" i="123"/>
  <c r="C40" i="123"/>
  <c r="C41" i="123"/>
  <c r="C42" i="123"/>
  <c r="E42" i="123"/>
  <c r="C34" i="110"/>
  <c r="C6" i="109"/>
  <c r="F10" i="109" s="1"/>
  <c r="C10" i="109"/>
  <c r="C14" i="109"/>
  <c r="C18" i="109"/>
  <c r="C22" i="109"/>
  <c r="C26" i="109"/>
  <c r="F26" i="109" s="1"/>
  <c r="C30" i="109"/>
  <c r="C34" i="109"/>
  <c r="C38" i="109"/>
  <c r="F42" i="109" s="1"/>
  <c r="C42" i="109"/>
  <c r="C46" i="109"/>
  <c r="F50" i="109" s="1"/>
  <c r="C50" i="109"/>
  <c r="C54" i="109"/>
  <c r="F58" i="109" s="1"/>
  <c r="C58" i="109"/>
  <c r="C62" i="109"/>
  <c r="C66" i="109"/>
  <c r="F66" i="109"/>
  <c r="C6" i="120"/>
  <c r="F10" i="120" s="1"/>
  <c r="C10" i="120"/>
  <c r="C14" i="120"/>
  <c r="C18" i="120"/>
  <c r="C22" i="120"/>
  <c r="C26" i="120"/>
  <c r="F26" i="120" s="1"/>
  <c r="C30" i="120"/>
  <c r="C34" i="120"/>
  <c r="C38" i="120"/>
  <c r="C42" i="120"/>
  <c r="C46" i="120"/>
  <c r="C50" i="120"/>
  <c r="C54" i="120"/>
  <c r="C58" i="120"/>
  <c r="C62" i="120"/>
  <c r="F66" i="120" s="1"/>
  <c r="C66" i="120"/>
  <c r="AB66" i="120"/>
  <c r="AB67" i="120"/>
  <c r="C70" i="120"/>
  <c r="C74" i="120"/>
  <c r="F74" i="120" s="1"/>
  <c r="C78" i="120"/>
  <c r="F82" i="120" s="1"/>
  <c r="C82" i="120"/>
  <c r="C86" i="120"/>
  <c r="C90" i="120"/>
  <c r="C94" i="120"/>
  <c r="C98" i="120"/>
  <c r="C102" i="120"/>
  <c r="C106" i="120"/>
  <c r="F106" i="120" s="1"/>
  <c r="AB106" i="120"/>
  <c r="AB107" i="120"/>
  <c r="C110" i="120"/>
  <c r="C114" i="120"/>
  <c r="C118" i="120"/>
  <c r="C122" i="120"/>
  <c r="C126" i="120"/>
  <c r="F130" i="120" s="1"/>
  <c r="C130" i="120"/>
  <c r="N1" i="75"/>
  <c r="O1" i="75"/>
  <c r="F5" i="117"/>
  <c r="I5" i="117"/>
  <c r="F6" i="117"/>
  <c r="G6" i="117" s="1"/>
  <c r="I6" i="117"/>
  <c r="F7" i="117"/>
  <c r="G7" i="117" s="1"/>
  <c r="I7" i="117"/>
  <c r="F8" i="117"/>
  <c r="G8" i="117" s="1"/>
  <c r="I8" i="117"/>
  <c r="F9" i="117"/>
  <c r="I9" i="117"/>
  <c r="F10" i="117"/>
  <c r="G10" i="117" s="1"/>
  <c r="H10" i="117"/>
  <c r="I10" i="117"/>
  <c r="F11" i="117"/>
  <c r="I11" i="117"/>
  <c r="F12" i="117"/>
  <c r="G12" i="117" s="1"/>
  <c r="I12" i="117"/>
  <c r="F13" i="117"/>
  <c r="G13" i="117" s="1"/>
  <c r="I13" i="117"/>
  <c r="F14" i="117"/>
  <c r="H14" i="117" s="1"/>
  <c r="I14" i="117"/>
  <c r="F15" i="117"/>
  <c r="H15" i="117" s="1"/>
  <c r="I15" i="117"/>
  <c r="F16" i="117"/>
  <c r="G16" i="117" s="1"/>
  <c r="I16" i="117"/>
  <c r="F17" i="117"/>
  <c r="I17" i="117"/>
  <c r="F18" i="117"/>
  <c r="G18" i="117"/>
  <c r="H18" i="117"/>
  <c r="I18" i="117"/>
  <c r="F19" i="117"/>
  <c r="H19" i="117" s="1"/>
  <c r="G19" i="117"/>
  <c r="I19" i="117"/>
  <c r="F20" i="117"/>
  <c r="G20" i="117" s="1"/>
  <c r="H20" i="117"/>
  <c r="I20" i="117"/>
  <c r="F21" i="117"/>
  <c r="G21" i="117" s="1"/>
  <c r="I21" i="117"/>
  <c r="F22" i="117"/>
  <c r="G22" i="117" s="1"/>
  <c r="I22" i="117"/>
  <c r="F23" i="117"/>
  <c r="I23" i="117"/>
  <c r="F24" i="117"/>
  <c r="I24" i="117"/>
  <c r="F25" i="117"/>
  <c r="G25" i="117" s="1"/>
  <c r="I25" i="117"/>
  <c r="F26" i="117"/>
  <c r="H26" i="117"/>
  <c r="I26" i="117"/>
  <c r="F27" i="117"/>
  <c r="H27" i="117" s="1"/>
  <c r="G27" i="117"/>
  <c r="I27" i="117"/>
  <c r="F28" i="117"/>
  <c r="G28" i="117" s="1"/>
  <c r="I28" i="117"/>
  <c r="F29" i="117"/>
  <c r="G29" i="117" s="1"/>
  <c r="I29" i="117"/>
  <c r="F30" i="117"/>
  <c r="G30" i="117" s="1"/>
  <c r="I30" i="117"/>
  <c r="F31" i="117"/>
  <c r="G31" i="117" s="1"/>
  <c r="I31" i="117"/>
  <c r="F32" i="117"/>
  <c r="I32" i="117"/>
  <c r="F33" i="117"/>
  <c r="G33" i="117" s="1"/>
  <c r="I33" i="117"/>
  <c r="F34" i="117"/>
  <c r="I34" i="117"/>
  <c r="F35" i="117"/>
  <c r="H35" i="117" s="1"/>
  <c r="G35" i="117"/>
  <c r="I35" i="117"/>
  <c r="F36" i="117"/>
  <c r="G36" i="117" s="1"/>
  <c r="I36" i="117"/>
  <c r="F37" i="117"/>
  <c r="G37" i="117" s="1"/>
  <c r="I37" i="117"/>
  <c r="F38" i="117"/>
  <c r="I38" i="117"/>
  <c r="F39" i="117"/>
  <c r="G39" i="117" s="1"/>
  <c r="I39" i="117"/>
  <c r="F40" i="117"/>
  <c r="H40" i="117" s="1"/>
  <c r="I40" i="117"/>
  <c r="F41" i="117"/>
  <c r="I41" i="117"/>
  <c r="F42" i="117"/>
  <c r="H42" i="117" s="1"/>
  <c r="G42" i="117"/>
  <c r="I42" i="117"/>
  <c r="F43" i="117"/>
  <c r="G43" i="117" s="1"/>
  <c r="I43" i="117"/>
  <c r="F44" i="117"/>
  <c r="G44" i="117" s="1"/>
  <c r="I44" i="117"/>
  <c r="F45" i="117"/>
  <c r="I45" i="117"/>
  <c r="F46" i="117"/>
  <c r="I46" i="117"/>
  <c r="F47" i="117"/>
  <c r="G47" i="117"/>
  <c r="I47" i="117"/>
  <c r="F48" i="117"/>
  <c r="G48" i="117" s="1"/>
  <c r="I48" i="117"/>
  <c r="F49" i="117"/>
  <c r="G49" i="117" s="1"/>
  <c r="I49" i="117"/>
  <c r="F50" i="117"/>
  <c r="G50" i="117" s="1"/>
  <c r="I50" i="117"/>
  <c r="F51" i="117"/>
  <c r="G51" i="117" s="1"/>
  <c r="I51" i="117"/>
  <c r="F52" i="117"/>
  <c r="G52" i="117" s="1"/>
  <c r="I52" i="117"/>
  <c r="F53" i="117"/>
  <c r="G53" i="117"/>
  <c r="I53" i="117"/>
  <c r="F54" i="117"/>
  <c r="I54" i="117"/>
  <c r="F55" i="117"/>
  <c r="G55" i="117" s="1"/>
  <c r="I55" i="117"/>
  <c r="F56" i="117"/>
  <c r="I56" i="117"/>
  <c r="F57" i="117"/>
  <c r="G57" i="117" s="1"/>
  <c r="I57" i="117"/>
  <c r="F58" i="117"/>
  <c r="G58" i="117" s="1"/>
  <c r="I58" i="117"/>
  <c r="F59" i="117"/>
  <c r="G59" i="117" s="1"/>
  <c r="I59" i="117"/>
  <c r="F60" i="117"/>
  <c r="H60" i="117" s="1"/>
  <c r="I60" i="117"/>
  <c r="F61" i="117"/>
  <c r="I61" i="117"/>
  <c r="F62" i="117"/>
  <c r="I62" i="117"/>
  <c r="F63" i="117"/>
  <c r="I63" i="117"/>
  <c r="F64" i="117"/>
  <c r="I64" i="117"/>
  <c r="F65" i="117"/>
  <c r="I65" i="117"/>
  <c r="F66" i="117"/>
  <c r="G66" i="117"/>
  <c r="H66" i="117"/>
  <c r="I66" i="117"/>
  <c r="F67" i="117"/>
  <c r="H67" i="117" s="1"/>
  <c r="G67" i="117"/>
  <c r="I67" i="117"/>
  <c r="F68" i="117"/>
  <c r="H68" i="117" s="1"/>
  <c r="G68" i="117"/>
  <c r="I68" i="117"/>
  <c r="F69" i="117"/>
  <c r="I69" i="117"/>
  <c r="F70" i="117"/>
  <c r="G70" i="117" s="1"/>
  <c r="I70" i="117"/>
  <c r="F71" i="117"/>
  <c r="I71" i="117"/>
  <c r="F72" i="117"/>
  <c r="I72" i="117"/>
  <c r="F73" i="117"/>
  <c r="H73" i="117" s="1"/>
  <c r="I73" i="117"/>
  <c r="F74" i="117"/>
  <c r="G74" i="117" s="1"/>
  <c r="I74" i="117"/>
  <c r="F75" i="117"/>
  <c r="G75" i="117" s="1"/>
  <c r="I75" i="117"/>
  <c r="F76" i="117"/>
  <c r="H76" i="117" s="1"/>
  <c r="G76" i="117"/>
  <c r="I76" i="117"/>
  <c r="F77" i="117"/>
  <c r="G77" i="117"/>
  <c r="I77" i="117"/>
  <c r="F78" i="117"/>
  <c r="G78" i="117" s="1"/>
  <c r="I78" i="117"/>
  <c r="F79" i="117"/>
  <c r="G79" i="117" s="1"/>
  <c r="I79" i="117"/>
  <c r="F80" i="117"/>
  <c r="I80" i="117"/>
  <c r="F81" i="117"/>
  <c r="I81" i="117"/>
  <c r="F82" i="117"/>
  <c r="G82" i="117" s="1"/>
  <c r="I82" i="117"/>
  <c r="F83" i="117"/>
  <c r="I83" i="117"/>
  <c r="F84" i="117"/>
  <c r="G84" i="117" s="1"/>
  <c r="I84" i="117"/>
  <c r="F85" i="117"/>
  <c r="I85" i="117"/>
  <c r="F86" i="117"/>
  <c r="G86" i="117" s="1"/>
  <c r="I86" i="117"/>
  <c r="F87" i="117"/>
  <c r="H87" i="117"/>
  <c r="G87" i="117"/>
  <c r="I87" i="117"/>
  <c r="F88" i="117"/>
  <c r="I88" i="117"/>
  <c r="F89" i="117"/>
  <c r="I89" i="117"/>
  <c r="F90" i="117"/>
  <c r="G90" i="117" s="1"/>
  <c r="I90" i="117"/>
  <c r="F91" i="117"/>
  <c r="G91" i="117" s="1"/>
  <c r="I91" i="117"/>
  <c r="F92" i="117"/>
  <c r="G92" i="117"/>
  <c r="H92" i="117"/>
  <c r="I92" i="117"/>
  <c r="F93" i="117"/>
  <c r="G93" i="117" s="1"/>
  <c r="I93" i="117"/>
  <c r="F94" i="117"/>
  <c r="I94" i="117"/>
  <c r="F95" i="117"/>
  <c r="G95" i="117" s="1"/>
  <c r="I95" i="117"/>
  <c r="F96" i="117"/>
  <c r="I96" i="117"/>
  <c r="F97" i="117"/>
  <c r="G97" i="117" s="1"/>
  <c r="I97" i="117"/>
  <c r="F98" i="117"/>
  <c r="G98" i="117" s="1"/>
  <c r="I98" i="117"/>
  <c r="F99" i="117"/>
  <c r="G99" i="117" s="1"/>
  <c r="I99" i="117"/>
  <c r="F100" i="117"/>
  <c r="G100" i="117"/>
  <c r="H100" i="117"/>
  <c r="I100" i="117"/>
  <c r="F101" i="117"/>
  <c r="H101" i="117" s="1"/>
  <c r="G101" i="117"/>
  <c r="I101" i="117"/>
  <c r="F102" i="117"/>
  <c r="G102" i="117" s="1"/>
  <c r="I102" i="117"/>
  <c r="F103" i="117"/>
  <c r="I103" i="117"/>
  <c r="F104" i="117"/>
  <c r="I104" i="117"/>
  <c r="F105" i="117"/>
  <c r="I105" i="117"/>
  <c r="F106" i="117"/>
  <c r="G106" i="117" s="1"/>
  <c r="I106" i="117"/>
  <c r="F107" i="117"/>
  <c r="G107" i="117" s="1"/>
  <c r="I107" i="117"/>
  <c r="F108" i="117"/>
  <c r="G108" i="117" s="1"/>
  <c r="I108" i="117"/>
  <c r="F109" i="117"/>
  <c r="G109" i="117" s="1"/>
  <c r="I109" i="117"/>
  <c r="F110" i="117"/>
  <c r="G110" i="117" s="1"/>
  <c r="I110" i="117"/>
  <c r="F111" i="117"/>
  <c r="I111" i="117"/>
  <c r="F112" i="117"/>
  <c r="H112" i="117" s="1"/>
  <c r="G112" i="117"/>
  <c r="I112" i="117"/>
  <c r="F113" i="117"/>
  <c r="G113" i="117" s="1"/>
  <c r="H113" i="117"/>
  <c r="I113" i="117"/>
  <c r="F114" i="117"/>
  <c r="G114" i="117" s="1"/>
  <c r="H114" i="117"/>
  <c r="I114" i="117"/>
  <c r="F115" i="117"/>
  <c r="G115" i="117" s="1"/>
  <c r="I115" i="117"/>
  <c r="F116" i="117"/>
  <c r="I116" i="117"/>
  <c r="F117" i="117"/>
  <c r="H117" i="117" s="1"/>
  <c r="I117" i="117"/>
  <c r="F118" i="117"/>
  <c r="G118" i="117" s="1"/>
  <c r="I118" i="117"/>
  <c r="F119" i="117"/>
  <c r="G119" i="117" s="1"/>
  <c r="I119" i="117"/>
  <c r="F120" i="117"/>
  <c r="G120" i="117" s="1"/>
  <c r="I120" i="117"/>
  <c r="F121" i="117"/>
  <c r="I121" i="117"/>
  <c r="C8" i="1"/>
  <c r="D8" i="1"/>
  <c r="C9" i="1"/>
  <c r="D9" i="1"/>
  <c r="C10" i="1"/>
  <c r="D10" i="1"/>
  <c r="C11" i="1"/>
  <c r="D11" i="1"/>
  <c r="C12" i="1"/>
  <c r="D12" i="1"/>
  <c r="C14" i="1"/>
  <c r="C15" i="1"/>
  <c r="C4" i="50" s="1"/>
  <c r="C16" i="1"/>
  <c r="C5" i="50" s="1"/>
  <c r="C17" i="1"/>
  <c r="C6" i="50" s="1"/>
  <c r="C8" i="90"/>
  <c r="D8" i="90"/>
  <c r="C9" i="90"/>
  <c r="D9" i="90"/>
  <c r="C10" i="90"/>
  <c r="D10" i="90"/>
  <c r="C11" i="90"/>
  <c r="B17" i="90" s="1"/>
  <c r="D110" i="50" s="1"/>
  <c r="D11" i="90"/>
  <c r="C12" i="90"/>
  <c r="B16" i="90" s="1"/>
  <c r="D109" i="50" s="1"/>
  <c r="D12" i="90"/>
  <c r="C14" i="90"/>
  <c r="C15" i="90"/>
  <c r="C108" i="50" s="1"/>
  <c r="C16" i="90"/>
  <c r="C109" i="50"/>
  <c r="C17" i="90"/>
  <c r="C8" i="89"/>
  <c r="D8" i="89"/>
  <c r="C9" i="89"/>
  <c r="E10" i="89" s="1"/>
  <c r="D172" i="15" s="1"/>
  <c r="K172" i="15" s="1"/>
  <c r="D9" i="89"/>
  <c r="C10" i="89"/>
  <c r="D10" i="89"/>
  <c r="C11" i="89"/>
  <c r="D11" i="89"/>
  <c r="C12" i="89"/>
  <c r="D12" i="89"/>
  <c r="C14" i="89"/>
  <c r="C111" i="50" s="1"/>
  <c r="C15" i="89"/>
  <c r="C16" i="89"/>
  <c r="C17" i="89"/>
  <c r="C114" i="50" s="1"/>
  <c r="C8" i="88"/>
  <c r="D8" i="88"/>
  <c r="C9" i="88"/>
  <c r="D9" i="88"/>
  <c r="C10" i="88"/>
  <c r="D10" i="88"/>
  <c r="C11" i="88"/>
  <c r="B17" i="88" s="1"/>
  <c r="D118" i="50" s="1"/>
  <c r="D11" i="88"/>
  <c r="C12" i="88"/>
  <c r="D12" i="88"/>
  <c r="B16" i="88" s="1"/>
  <c r="D117" i="50" s="1"/>
  <c r="B117" i="50" s="1"/>
  <c r="C14" i="88"/>
  <c r="C15" i="88"/>
  <c r="C16" i="88"/>
  <c r="C17" i="88"/>
  <c r="C118" i="50" s="1"/>
  <c r="C8" i="87"/>
  <c r="D8" i="87"/>
  <c r="C9" i="87"/>
  <c r="D9" i="87"/>
  <c r="C10" i="87"/>
  <c r="B14" i="87" s="1"/>
  <c r="D119" i="50" s="1"/>
  <c r="D10" i="87"/>
  <c r="C11" i="87"/>
  <c r="B17" i="87" s="1"/>
  <c r="D122" i="50" s="1"/>
  <c r="B122" i="50" s="1"/>
  <c r="D11" i="87"/>
  <c r="C12" i="87"/>
  <c r="D12" i="87"/>
  <c r="B15" i="87"/>
  <c r="D120" i="50" s="1"/>
  <c r="C14" i="87"/>
  <c r="C119" i="50" s="1"/>
  <c r="A119" i="50" s="1"/>
  <c r="C15" i="87"/>
  <c r="C120" i="50" s="1"/>
  <c r="A120" i="50" s="1"/>
  <c r="C16" i="87"/>
  <c r="C121" i="50" s="1"/>
  <c r="C17" i="87"/>
  <c r="C122" i="50" s="1"/>
  <c r="A122" i="50" s="1"/>
  <c r="F1" i="86"/>
  <c r="C8" i="86"/>
  <c r="D8" i="86"/>
  <c r="C9" i="86"/>
  <c r="E10" i="86"/>
  <c r="D9" i="86"/>
  <c r="C10" i="86"/>
  <c r="D10" i="86"/>
  <c r="C11" i="86"/>
  <c r="B17" i="86" s="1"/>
  <c r="D126" i="50" s="1"/>
  <c r="D11" i="86"/>
  <c r="C12" i="86"/>
  <c r="B15" i="86" s="1"/>
  <c r="D124" i="50" s="1"/>
  <c r="D12" i="86"/>
  <c r="C14" i="86"/>
  <c r="C123" i="50" s="1"/>
  <c r="C15" i="86"/>
  <c r="C124" i="50" s="1"/>
  <c r="C16" i="86"/>
  <c r="C125" i="50"/>
  <c r="C17" i="86"/>
  <c r="C126" i="50" s="1"/>
  <c r="A126" i="50" s="1"/>
  <c r="F1" i="85"/>
  <c r="C8" i="85"/>
  <c r="D8" i="85"/>
  <c r="C9" i="85"/>
  <c r="D9" i="85"/>
  <c r="C10" i="85"/>
  <c r="D10" i="85"/>
  <c r="C11" i="85"/>
  <c r="B17" i="85" s="1"/>
  <c r="D130" i="50" s="1"/>
  <c r="D11" i="85"/>
  <c r="C12" i="85"/>
  <c r="D12" i="85"/>
  <c r="C14" i="85"/>
  <c r="C15" i="85"/>
  <c r="C16" i="85"/>
  <c r="C129" i="50"/>
  <c r="C17" i="85"/>
  <c r="C130" i="50"/>
  <c r="C8" i="4"/>
  <c r="D8" i="4"/>
  <c r="C9" i="4"/>
  <c r="D9" i="4"/>
  <c r="C10" i="4"/>
  <c r="D10" i="4"/>
  <c r="C11" i="4"/>
  <c r="D11" i="4"/>
  <c r="C12" i="4"/>
  <c r="D12" i="4"/>
  <c r="C14" i="4"/>
  <c r="C15" i="4"/>
  <c r="C8" i="50" s="1"/>
  <c r="C16" i="4"/>
  <c r="C17" i="4"/>
  <c r="C8" i="5"/>
  <c r="D8" i="5"/>
  <c r="C9" i="5"/>
  <c r="D9" i="5"/>
  <c r="C10" i="5"/>
  <c r="D10" i="5"/>
  <c r="C11" i="5"/>
  <c r="D11" i="5"/>
  <c r="C12" i="5"/>
  <c r="D12" i="5"/>
  <c r="C14" i="5"/>
  <c r="C11" i="50" s="1"/>
  <c r="C15" i="5"/>
  <c r="C12" i="50" s="1"/>
  <c r="C16" i="5"/>
  <c r="C13" i="50" s="1"/>
  <c r="C17" i="5"/>
  <c r="C14" i="50" s="1"/>
  <c r="F1" i="6"/>
  <c r="C8" i="6"/>
  <c r="D8" i="6"/>
  <c r="C9" i="6"/>
  <c r="D9" i="6"/>
  <c r="C10" i="6"/>
  <c r="D10" i="6"/>
  <c r="C11" i="6"/>
  <c r="D11" i="6"/>
  <c r="C12" i="6"/>
  <c r="D12" i="6"/>
  <c r="C14" i="6"/>
  <c r="C15" i="50" s="1"/>
  <c r="C15" i="6"/>
  <c r="C16" i="50"/>
  <c r="C16" i="6"/>
  <c r="C17" i="50" s="1"/>
  <c r="C17" i="6"/>
  <c r="F1" i="7"/>
  <c r="C8" i="7"/>
  <c r="D8" i="7"/>
  <c r="C9" i="7"/>
  <c r="D9" i="7"/>
  <c r="C10" i="7"/>
  <c r="D10" i="7"/>
  <c r="C11" i="7"/>
  <c r="D11" i="7"/>
  <c r="C12" i="7"/>
  <c r="D12" i="7"/>
  <c r="C14" i="7"/>
  <c r="C15" i="7"/>
  <c r="C16" i="7"/>
  <c r="C21" i="50" s="1"/>
  <c r="C17" i="7"/>
  <c r="C22" i="50" s="1"/>
  <c r="C8" i="8"/>
  <c r="D8" i="8"/>
  <c r="C9" i="8"/>
  <c r="D9" i="8"/>
  <c r="C10" i="8"/>
  <c r="D10" i="8"/>
  <c r="C11" i="8"/>
  <c r="D11" i="8"/>
  <c r="C12" i="8"/>
  <c r="D12" i="8"/>
  <c r="C14" i="8"/>
  <c r="C23" i="50" s="1"/>
  <c r="C15" i="8"/>
  <c r="C24" i="50" s="1"/>
  <c r="C16" i="8"/>
  <c r="C17" i="8"/>
  <c r="C8" i="9"/>
  <c r="D8" i="9"/>
  <c r="C9" i="9"/>
  <c r="D9" i="9"/>
  <c r="C10" i="9"/>
  <c r="D10" i="9"/>
  <c r="C11" i="9"/>
  <c r="D11" i="9"/>
  <c r="C12" i="9"/>
  <c r="D12" i="9"/>
  <c r="C14" i="9"/>
  <c r="C27" i="50" s="1"/>
  <c r="C15" i="9"/>
  <c r="C28" i="50" s="1"/>
  <c r="C16" i="9"/>
  <c r="C29" i="50"/>
  <c r="C17" i="9"/>
  <c r="C30" i="50" s="1"/>
  <c r="C8" i="10"/>
  <c r="D8" i="10"/>
  <c r="C9" i="10"/>
  <c r="D9" i="10"/>
  <c r="C10" i="10"/>
  <c r="D10" i="10"/>
  <c r="C11" i="10"/>
  <c r="D11" i="10"/>
  <c r="C12" i="10"/>
  <c r="D12" i="10"/>
  <c r="C14" i="10"/>
  <c r="C31" i="50" s="1"/>
  <c r="C15" i="10"/>
  <c r="C32" i="50"/>
  <c r="C16" i="10"/>
  <c r="C33" i="50" s="1"/>
  <c r="C17" i="10"/>
  <c r="C34" i="50" s="1"/>
  <c r="C8" i="108"/>
  <c r="D8" i="108"/>
  <c r="C9" i="108"/>
  <c r="D9" i="108"/>
  <c r="C10" i="108"/>
  <c r="D10" i="108"/>
  <c r="C11" i="108"/>
  <c r="D11" i="108"/>
  <c r="C12" i="108"/>
  <c r="D12" i="108"/>
  <c r="C14" i="108"/>
  <c r="C15" i="108"/>
  <c r="C16" i="108"/>
  <c r="C37" i="50" s="1"/>
  <c r="C17" i="108"/>
  <c r="C8" i="107"/>
  <c r="D8" i="107"/>
  <c r="C9" i="107"/>
  <c r="D9" i="107"/>
  <c r="C10" i="107"/>
  <c r="D10" i="107"/>
  <c r="C11" i="107"/>
  <c r="D11" i="107"/>
  <c r="C12" i="107"/>
  <c r="D12" i="107"/>
  <c r="C14" i="107"/>
  <c r="C39" i="50" s="1"/>
  <c r="C15" i="107"/>
  <c r="C40" i="50" s="1"/>
  <c r="C16" i="107"/>
  <c r="C41" i="50" s="1"/>
  <c r="C17" i="107"/>
  <c r="C8" i="106"/>
  <c r="D8" i="106"/>
  <c r="C9" i="106"/>
  <c r="D9" i="106"/>
  <c r="C10" i="106"/>
  <c r="D10" i="106"/>
  <c r="C11" i="106"/>
  <c r="D11" i="106"/>
  <c r="C12" i="106"/>
  <c r="D12" i="106"/>
  <c r="C14" i="106"/>
  <c r="C43" i="50" s="1"/>
  <c r="C15" i="106"/>
  <c r="C44" i="50" s="1"/>
  <c r="C16" i="106"/>
  <c r="C45" i="50" s="1"/>
  <c r="C17" i="106"/>
  <c r="C46" i="50" s="1"/>
  <c r="F1" i="105"/>
  <c r="C8" i="105"/>
  <c r="D8" i="105"/>
  <c r="C9" i="105"/>
  <c r="D9" i="105"/>
  <c r="C10" i="105"/>
  <c r="D10" i="105"/>
  <c r="C11" i="105"/>
  <c r="D11" i="105"/>
  <c r="C12" i="105"/>
  <c r="D12" i="105"/>
  <c r="C14" i="105"/>
  <c r="C47" i="50" s="1"/>
  <c r="C15" i="105"/>
  <c r="C48" i="50" s="1"/>
  <c r="C16" i="105"/>
  <c r="C49" i="50" s="1"/>
  <c r="C17" i="105"/>
  <c r="C50" i="50" s="1"/>
  <c r="C8" i="104"/>
  <c r="D8" i="104"/>
  <c r="C9" i="104"/>
  <c r="D9" i="104"/>
  <c r="C10" i="104"/>
  <c r="D10" i="104"/>
  <c r="C11" i="104"/>
  <c r="D11" i="104"/>
  <c r="C12" i="104"/>
  <c r="D12" i="104"/>
  <c r="C14" i="104"/>
  <c r="C51" i="50" s="1"/>
  <c r="C15" i="104"/>
  <c r="C52" i="50" s="1"/>
  <c r="C16" i="104"/>
  <c r="C17" i="104"/>
  <c r="C8" i="103"/>
  <c r="D8" i="103"/>
  <c r="C9" i="103"/>
  <c r="D9" i="103"/>
  <c r="C10" i="103"/>
  <c r="D10" i="103"/>
  <c r="C11" i="103"/>
  <c r="D11" i="103"/>
  <c r="C12" i="103"/>
  <c r="D12" i="103"/>
  <c r="C14" i="103"/>
  <c r="C15" i="103"/>
  <c r="C56" i="50"/>
  <c r="C16" i="103"/>
  <c r="C57" i="50" s="1"/>
  <c r="C17" i="103"/>
  <c r="C58" i="50" s="1"/>
  <c r="F1" i="102"/>
  <c r="C8" i="102"/>
  <c r="D8" i="102"/>
  <c r="C9" i="102"/>
  <c r="D9" i="102"/>
  <c r="C10" i="102"/>
  <c r="D10" i="102"/>
  <c r="C11" i="102"/>
  <c r="D11" i="102"/>
  <c r="C12" i="102"/>
  <c r="D12" i="102"/>
  <c r="C14" i="102"/>
  <c r="C59" i="50" s="1"/>
  <c r="C15" i="102"/>
  <c r="C60" i="50" s="1"/>
  <c r="C16" i="102"/>
  <c r="C61" i="50" s="1"/>
  <c r="C17" i="102"/>
  <c r="C62" i="50" s="1"/>
  <c r="F1" i="101"/>
  <c r="C8" i="101"/>
  <c r="D8" i="101"/>
  <c r="C9" i="101"/>
  <c r="D9" i="101"/>
  <c r="C10" i="101"/>
  <c r="D10" i="101"/>
  <c r="C11" i="101"/>
  <c r="D11" i="101"/>
  <c r="C12" i="101"/>
  <c r="D12" i="101"/>
  <c r="C14" i="101"/>
  <c r="C63" i="50"/>
  <c r="C15" i="101"/>
  <c r="C64" i="50" s="1"/>
  <c r="C16" i="101"/>
  <c r="C17" i="101"/>
  <c r="C66" i="50"/>
  <c r="F1" i="100"/>
  <c r="C8" i="100"/>
  <c r="D8" i="100"/>
  <c r="C9" i="100"/>
  <c r="D9" i="100"/>
  <c r="C10" i="100"/>
  <c r="D10" i="100"/>
  <c r="C11" i="100"/>
  <c r="D11" i="100"/>
  <c r="B17" i="100" s="1"/>
  <c r="C12" i="100"/>
  <c r="B16" i="100" s="1"/>
  <c r="D69" i="50" s="1"/>
  <c r="B69" i="50" s="1"/>
  <c r="D12" i="100"/>
  <c r="C14" i="100"/>
  <c r="C67" i="50" s="1"/>
  <c r="C15" i="100"/>
  <c r="C68" i="50"/>
  <c r="C16" i="100"/>
  <c r="C69" i="50" s="1"/>
  <c r="A69" i="50" s="1"/>
  <c r="C17" i="100"/>
  <c r="C70" i="50" s="1"/>
  <c r="C8" i="99"/>
  <c r="D8" i="99"/>
  <c r="C9" i="99"/>
  <c r="D9" i="99"/>
  <c r="E10" i="99" s="1"/>
  <c r="B12" i="99" s="1"/>
  <c r="B114" i="15" s="1"/>
  <c r="C10" i="99"/>
  <c r="D10" i="99"/>
  <c r="C11" i="99"/>
  <c r="D11" i="99"/>
  <c r="C12" i="99"/>
  <c r="D12" i="99"/>
  <c r="C14" i="99"/>
  <c r="C71" i="50" s="1"/>
  <c r="C15" i="99"/>
  <c r="C16" i="99"/>
  <c r="C73" i="50"/>
  <c r="C17" i="99"/>
  <c r="C74" i="50"/>
  <c r="C8" i="98"/>
  <c r="D8" i="98"/>
  <c r="C9" i="98"/>
  <c r="D9" i="98"/>
  <c r="E10" i="98" s="1"/>
  <c r="D118" i="15" s="1"/>
  <c r="K118" i="15" s="1"/>
  <c r="C10" i="98"/>
  <c r="D10" i="98"/>
  <c r="C11" i="98"/>
  <c r="D11" i="98"/>
  <c r="C12" i="98"/>
  <c r="D12" i="98"/>
  <c r="C14" i="98"/>
  <c r="C75" i="50" s="1"/>
  <c r="C15" i="98"/>
  <c r="C76" i="50"/>
  <c r="C16" i="98"/>
  <c r="C77" i="50" s="1"/>
  <c r="C17" i="98"/>
  <c r="C78" i="50"/>
  <c r="C8" i="97"/>
  <c r="D8" i="97"/>
  <c r="C9" i="97"/>
  <c r="D9" i="97"/>
  <c r="C10" i="97"/>
  <c r="D10" i="97"/>
  <c r="C11" i="97"/>
  <c r="D11" i="97"/>
  <c r="C12" i="97"/>
  <c r="D12" i="97"/>
  <c r="B15" i="97" s="1"/>
  <c r="D80" i="50" s="1"/>
  <c r="B80" i="50" s="1"/>
  <c r="C14" i="97"/>
  <c r="C79" i="50" s="1"/>
  <c r="C15" i="97"/>
  <c r="C80" i="50" s="1"/>
  <c r="C16" i="97"/>
  <c r="C81" i="50" s="1"/>
  <c r="C17" i="97"/>
  <c r="C82" i="50"/>
  <c r="F1" i="96"/>
  <c r="C8" i="96"/>
  <c r="D8" i="96"/>
  <c r="C9" i="96"/>
  <c r="D9" i="96"/>
  <c r="C10" i="96"/>
  <c r="D10" i="96"/>
  <c r="C11" i="96"/>
  <c r="D11" i="96"/>
  <c r="B17" i="96" s="1"/>
  <c r="D86" i="50" s="1"/>
  <c r="C12" i="96"/>
  <c r="D12" i="96"/>
  <c r="C14" i="96"/>
  <c r="C83" i="50"/>
  <c r="C15" i="96"/>
  <c r="C84" i="50" s="1"/>
  <c r="C16" i="96"/>
  <c r="C85" i="50" s="1"/>
  <c r="C17" i="96"/>
  <c r="C86" i="50" s="1"/>
  <c r="C8" i="95"/>
  <c r="D8" i="95"/>
  <c r="C9" i="95"/>
  <c r="D9" i="95"/>
  <c r="E10" i="95"/>
  <c r="B12" i="95" s="1"/>
  <c r="B138" i="15" s="1"/>
  <c r="C10" i="95"/>
  <c r="D10" i="95"/>
  <c r="C11" i="95"/>
  <c r="D11" i="95"/>
  <c r="C12" i="95"/>
  <c r="D12" i="95"/>
  <c r="B15" i="95" s="1"/>
  <c r="D88" i="50" s="1"/>
  <c r="B88" i="50" s="1"/>
  <c r="C14" i="95"/>
  <c r="C87" i="50" s="1"/>
  <c r="C15" i="95"/>
  <c r="C88" i="50" s="1"/>
  <c r="C16" i="95"/>
  <c r="C89" i="50" s="1"/>
  <c r="A89" i="50" s="1"/>
  <c r="C17" i="95"/>
  <c r="C90" i="50" s="1"/>
  <c r="C8" i="94"/>
  <c r="D8" i="94"/>
  <c r="C9" i="94"/>
  <c r="D9" i="94"/>
  <c r="C10" i="94"/>
  <c r="D10" i="94"/>
  <c r="B14" i="94" s="1"/>
  <c r="D91" i="50" s="1"/>
  <c r="C11" i="94"/>
  <c r="D11" i="94"/>
  <c r="B17" i="94" s="1"/>
  <c r="D94" i="50" s="1"/>
  <c r="C12" i="94"/>
  <c r="D12" i="94"/>
  <c r="C14" i="94"/>
  <c r="C15" i="94"/>
  <c r="C92" i="50"/>
  <c r="C16" i="94"/>
  <c r="C17" i="94"/>
  <c r="C94" i="50" s="1"/>
  <c r="F1" i="93"/>
  <c r="C8" i="93"/>
  <c r="D8" i="93"/>
  <c r="C9" i="93"/>
  <c r="D9" i="93"/>
  <c r="E10" i="93" s="1"/>
  <c r="C10" i="93"/>
  <c r="D10" i="93"/>
  <c r="B14" i="93" s="1"/>
  <c r="D95" i="50" s="1"/>
  <c r="C11" i="93"/>
  <c r="D11" i="93"/>
  <c r="B17" i="93" s="1"/>
  <c r="D98" i="50" s="1"/>
  <c r="C12" i="93"/>
  <c r="D12" i="93"/>
  <c r="C14" i="93"/>
  <c r="C95" i="50" s="1"/>
  <c r="C15" i="93"/>
  <c r="C96" i="50" s="1"/>
  <c r="C16" i="93"/>
  <c r="C97" i="50" s="1"/>
  <c r="C17" i="93"/>
  <c r="C8" i="92"/>
  <c r="D8" i="92"/>
  <c r="C9" i="92"/>
  <c r="D9" i="92"/>
  <c r="C10" i="92"/>
  <c r="D10" i="92"/>
  <c r="C11" i="92"/>
  <c r="D11" i="92"/>
  <c r="C12" i="92"/>
  <c r="B15" i="92" s="1"/>
  <c r="D100" i="50" s="1"/>
  <c r="D12" i="92"/>
  <c r="C14" i="92"/>
  <c r="C99" i="50" s="1"/>
  <c r="C15" i="92"/>
  <c r="C100" i="50" s="1"/>
  <c r="C16" i="92"/>
  <c r="C101" i="50" s="1"/>
  <c r="C17" i="92"/>
  <c r="C8" i="91"/>
  <c r="D8" i="91"/>
  <c r="C9" i="91"/>
  <c r="D9" i="91"/>
  <c r="E10" i="91" s="1"/>
  <c r="C10" i="91"/>
  <c r="B14" i="91" s="1"/>
  <c r="D103" i="50" s="1"/>
  <c r="D10" i="91"/>
  <c r="C11" i="91"/>
  <c r="D11" i="91"/>
  <c r="B17" i="91"/>
  <c r="D106" i="50" s="1"/>
  <c r="A106" i="50" s="1"/>
  <c r="C12" i="91"/>
  <c r="D12" i="91"/>
  <c r="C14" i="91"/>
  <c r="C103" i="50" s="1"/>
  <c r="C15" i="91"/>
  <c r="C104" i="50" s="1"/>
  <c r="C16" i="91"/>
  <c r="C105" i="50" s="1"/>
  <c r="A105" i="50" s="1"/>
  <c r="C17" i="91"/>
  <c r="S5"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c r="H30" i="47"/>
  <c r="BF30" i="47" s="1"/>
  <c r="H31" i="47"/>
  <c r="BF31" i="47" s="1"/>
  <c r="H32" i="47"/>
  <c r="BF32" i="47" s="1"/>
  <c r="H33" i="47"/>
  <c r="BF33" i="47" s="1"/>
  <c r="H34" i="47"/>
  <c r="BF34" i="47" s="1"/>
  <c r="H35" i="47"/>
  <c r="BF35" i="47"/>
  <c r="H36" i="47"/>
  <c r="BF36" i="47" s="1"/>
  <c r="H37" i="47"/>
  <c r="BF37" i="47"/>
  <c r="H38" i="47"/>
  <c r="BF38" i="47" s="1"/>
  <c r="H39" i="47"/>
  <c r="BF39" i="47" s="1"/>
  <c r="H40" i="47"/>
  <c r="BF40" i="47" s="1"/>
  <c r="H41" i="47"/>
  <c r="BF41" i="47" s="1"/>
  <c r="H42" i="47"/>
  <c r="BF42" i="47" s="1"/>
  <c r="H43" i="47"/>
  <c r="BF43" i="47" s="1"/>
  <c r="H44" i="47"/>
  <c r="BF44" i="47" s="1"/>
  <c r="H45" i="47"/>
  <c r="BF45" i="47"/>
  <c r="H46" i="47"/>
  <c r="BF46" i="47" s="1"/>
  <c r="H47" i="47"/>
  <c r="BF47" i="47" s="1"/>
  <c r="H48" i="47"/>
  <c r="BF48" i="47" s="1"/>
  <c r="H49" i="47"/>
  <c r="BF49" i="47" s="1"/>
  <c r="H50" i="47"/>
  <c r="BF50" i="47" s="1"/>
  <c r="H51" i="47"/>
  <c r="BF51" i="47"/>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c r="H68" i="47"/>
  <c r="BF68" i="47" s="1"/>
  <c r="H69" i="47"/>
  <c r="BF69" i="47"/>
  <c r="H70" i="47"/>
  <c r="BF70" i="47" s="1"/>
  <c r="H71" i="47"/>
  <c r="BF71" i="47" s="1"/>
  <c r="H72" i="47"/>
  <c r="BF72" i="47" s="1"/>
  <c r="H73" i="47"/>
  <c r="BF73" i="47" s="1"/>
  <c r="H74" i="47"/>
  <c r="BF74" i="47" s="1"/>
  <c r="H75" i="47"/>
  <c r="BF75" i="47" s="1"/>
  <c r="H76" i="47"/>
  <c r="BF76" i="47" s="1"/>
  <c r="H77" i="47"/>
  <c r="BF77" i="47"/>
  <c r="H78" i="47"/>
  <c r="BF78" i="47" s="1"/>
  <c r="H79" i="47"/>
  <c r="BF79" i="47"/>
  <c r="H80" i="47"/>
  <c r="BF80" i="47" s="1"/>
  <c r="H81" i="47"/>
  <c r="BF81" i="47"/>
  <c r="H82" i="47"/>
  <c r="BF82" i="47" s="1"/>
  <c r="H83" i="47"/>
  <c r="BF83" i="47"/>
  <c r="H84" i="47"/>
  <c r="BF84" i="47" s="1"/>
  <c r="H85" i="47"/>
  <c r="BF85" i="47" s="1"/>
  <c r="H86" i="47"/>
  <c r="BF86" i="47" s="1"/>
  <c r="H87" i="47"/>
  <c r="BF87" i="47"/>
  <c r="H88" i="47"/>
  <c r="BF88" i="47" s="1"/>
  <c r="H89" i="47"/>
  <c r="BF89" i="47"/>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c r="H101" i="47"/>
  <c r="BF101" i="47" s="1"/>
  <c r="H102" i="47"/>
  <c r="BF102" i="47" s="1"/>
  <c r="H103" i="47"/>
  <c r="BF103" i="47" s="1"/>
  <c r="H104" i="47"/>
  <c r="BF104" i="47" s="1"/>
  <c r="H105" i="47"/>
  <c r="BF105" i="47" s="1"/>
  <c r="H106" i="47"/>
  <c r="BF106" i="47" s="1"/>
  <c r="H107" i="47"/>
  <c r="BF107" i="47" s="1"/>
  <c r="H108" i="47"/>
  <c r="BF108" i="47" s="1"/>
  <c r="H109" i="47"/>
  <c r="BF109" i="47"/>
  <c r="H110" i="47"/>
  <c r="BF110" i="47" s="1"/>
  <c r="H111" i="47"/>
  <c r="BF111" i="47"/>
  <c r="H112" i="47"/>
  <c r="BF112" i="47" s="1"/>
  <c r="H113" i="47"/>
  <c r="BF113" i="47"/>
  <c r="H114" i="47"/>
  <c r="BF114" i="47" s="1"/>
  <c r="H115" i="47"/>
  <c r="BF115" i="47" s="1"/>
  <c r="H116" i="47"/>
  <c r="BF116" i="47" s="1"/>
  <c r="H117" i="47"/>
  <c r="BF117" i="47" s="1"/>
  <c r="H118" i="47"/>
  <c r="BF118" i="47" s="1"/>
  <c r="H119" i="47"/>
  <c r="BF119" i="47"/>
  <c r="H120" i="47"/>
  <c r="BF120" i="47" s="1"/>
  <c r="H121" i="47"/>
  <c r="BF121" i="47"/>
  <c r="H122" i="47"/>
  <c r="BF122" i="47" s="1"/>
  <c r="H123" i="47"/>
  <c r="BF123" i="47"/>
  <c r="H124" i="47"/>
  <c r="BF124" i="47" s="1"/>
  <c r="H125" i="47"/>
  <c r="BF125" i="47"/>
  <c r="H126" i="47"/>
  <c r="BF126" i="47" s="1"/>
  <c r="H127" i="47"/>
  <c r="BF127" i="47"/>
  <c r="H128" i="47"/>
  <c r="BF128" i="47" s="1"/>
  <c r="H129" i="47"/>
  <c r="BF129" i="47" s="1"/>
  <c r="H130" i="47"/>
  <c r="BF130" i="47" s="1"/>
  <c r="H131" i="47"/>
  <c r="BF131" i="47"/>
  <c r="H132" i="47"/>
  <c r="BF132" i="47" s="1"/>
  <c r="H133" i="47"/>
  <c r="BF133" i="47"/>
  <c r="H134" i="47"/>
  <c r="BF134" i="47" s="1"/>
  <c r="H135" i="47"/>
  <c r="BF135" i="47"/>
  <c r="H136" i="47"/>
  <c r="BF136" i="47" s="1"/>
  <c r="H137" i="47"/>
  <c r="BF137" i="47" s="1"/>
  <c r="H138"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7" i="50"/>
  <c r="C9" i="50"/>
  <c r="C10" i="50"/>
  <c r="C18" i="50"/>
  <c r="C19" i="50"/>
  <c r="C20" i="50"/>
  <c r="C25" i="50"/>
  <c r="C26" i="50"/>
  <c r="C35" i="50"/>
  <c r="C36" i="50"/>
  <c r="C38" i="50"/>
  <c r="C42" i="50"/>
  <c r="C53" i="50"/>
  <c r="C54" i="50"/>
  <c r="C55" i="50"/>
  <c r="C65" i="50"/>
  <c r="C72" i="50"/>
  <c r="C91" i="50"/>
  <c r="C93" i="50"/>
  <c r="C98" i="50"/>
  <c r="C102" i="50"/>
  <c r="C106" i="50"/>
  <c r="C107" i="50"/>
  <c r="C110" i="50"/>
  <c r="A110" i="50" s="1"/>
  <c r="C112" i="50"/>
  <c r="C113" i="50"/>
  <c r="C115" i="50"/>
  <c r="C116" i="50"/>
  <c r="C117" i="50"/>
  <c r="C127" i="50"/>
  <c r="C128" i="50"/>
  <c r="K6" i="47"/>
  <c r="B16" i="86"/>
  <c r="D125" i="50"/>
  <c r="B16" i="91"/>
  <c r="D105" i="50" s="1"/>
  <c r="B105" i="50" s="1"/>
  <c r="D70" i="50"/>
  <c r="B70" i="50" s="1"/>
  <c r="B14" i="98"/>
  <c r="D75" i="50" s="1"/>
  <c r="A75" i="50" s="1"/>
  <c r="H77" i="117"/>
  <c r="H59" i="117"/>
  <c r="H55" i="117"/>
  <c r="H53" i="117"/>
  <c r="H51" i="117"/>
  <c r="H49" i="117"/>
  <c r="H47" i="117"/>
  <c r="H43" i="117"/>
  <c r="H39" i="117"/>
  <c r="H37" i="117"/>
  <c r="H33" i="117"/>
  <c r="H29" i="117"/>
  <c r="H21" i="117"/>
  <c r="H107" i="117"/>
  <c r="H99" i="117"/>
  <c r="H97" i="117"/>
  <c r="H95" i="117"/>
  <c r="H91" i="117"/>
  <c r="H79" i="117"/>
  <c r="G104" i="117"/>
  <c r="H104" i="117"/>
  <c r="G96" i="117"/>
  <c r="H96" i="117"/>
  <c r="G88" i="117"/>
  <c r="H88" i="117"/>
  <c r="G81" i="117"/>
  <c r="H81" i="117"/>
  <c r="G72" i="117"/>
  <c r="H72" i="117"/>
  <c r="G65" i="117"/>
  <c r="H65" i="117"/>
  <c r="H57" i="117"/>
  <c r="H25" i="117"/>
  <c r="B15" i="100"/>
  <c r="D68" i="50"/>
  <c r="A68" i="50" s="1"/>
  <c r="G80" i="117"/>
  <c r="H80" i="117"/>
  <c r="G64" i="117"/>
  <c r="H64" i="117"/>
  <c r="G56" i="117"/>
  <c r="H56" i="117"/>
  <c r="G24" i="117"/>
  <c r="H24" i="117"/>
  <c r="H102" i="117"/>
  <c r="H86" i="117"/>
  <c r="H78" i="117"/>
  <c r="H70" i="117"/>
  <c r="H30" i="117"/>
  <c r="H22" i="117"/>
  <c r="B126" i="50"/>
  <c r="B120" i="50"/>
  <c r="B119" i="50"/>
  <c r="B12" i="89"/>
  <c r="B174" i="15" s="1"/>
  <c r="H5" i="117"/>
  <c r="G5" i="117"/>
  <c r="A109" i="50"/>
  <c r="B109" i="50"/>
  <c r="G83" i="117"/>
  <c r="H83" i="117"/>
  <c r="G60" i="117"/>
  <c r="B68" i="50"/>
  <c r="B15" i="96"/>
  <c r="D84" i="50"/>
  <c r="B84" i="50" s="1"/>
  <c r="B17" i="95"/>
  <c r="D90" i="50"/>
  <c r="B90" i="50" s="1"/>
  <c r="B15" i="94"/>
  <c r="D92" i="50" s="1"/>
  <c r="B92" i="50" s="1"/>
  <c r="B16" i="94"/>
  <c r="D93" i="50" s="1"/>
  <c r="B16" i="95"/>
  <c r="D89" i="50" s="1"/>
  <c r="G71" i="117"/>
  <c r="H71" i="117"/>
  <c r="B15" i="90"/>
  <c r="D108" i="50" s="1"/>
  <c r="B108" i="50" s="1"/>
  <c r="G116" i="117"/>
  <c r="H116" i="117"/>
  <c r="D136" i="15"/>
  <c r="K136" i="15" s="1"/>
  <c r="E10" i="97"/>
  <c r="E10" i="87"/>
  <c r="B12" i="87" s="1"/>
  <c r="B186" i="15" s="1"/>
  <c r="H38" i="117"/>
  <c r="G38" i="117"/>
  <c r="B110" i="50"/>
  <c r="B124" i="50"/>
  <c r="A124" i="50"/>
  <c r="G34" i="117"/>
  <c r="H34" i="117"/>
  <c r="G26" i="117"/>
  <c r="E11" i="123"/>
  <c r="E39" i="123"/>
  <c r="E29" i="123"/>
  <c r="E19" i="123"/>
  <c r="E38" i="123"/>
  <c r="E28" i="123"/>
  <c r="E18" i="123"/>
  <c r="H12" i="117"/>
  <c r="H7" i="117"/>
  <c r="E37" i="123"/>
  <c r="E27" i="123"/>
  <c r="E17" i="123"/>
  <c r="H48" i="117"/>
  <c r="H82" i="117"/>
  <c r="E36" i="123"/>
  <c r="E26" i="123"/>
  <c r="E16" i="123"/>
  <c r="E33" i="123"/>
  <c r="E23" i="123"/>
  <c r="E13" i="123"/>
  <c r="E41" i="123"/>
  <c r="E31" i="123"/>
  <c r="B89" i="50"/>
  <c r="D184" i="15"/>
  <c r="K184" i="15" s="1"/>
  <c r="A92" i="50"/>
  <c r="O142" i="47"/>
  <c r="I137" i="47"/>
  <c r="U76" i="47"/>
  <c r="AA29" i="47"/>
  <c r="I61" i="47"/>
  <c r="B1" i="123"/>
  <c r="U140" i="47"/>
  <c r="U48" i="47"/>
  <c r="AA116" i="47"/>
  <c r="AA37" i="47"/>
  <c r="AA56" i="47"/>
  <c r="I12" i="47"/>
  <c r="U12" i="47"/>
  <c r="AA12" i="47"/>
  <c r="U123" i="47"/>
  <c r="AA142" i="47"/>
  <c r="O49" i="47"/>
  <c r="I107" i="47"/>
  <c r="O53" i="47"/>
  <c r="AA90" i="47"/>
  <c r="AA69" i="47"/>
  <c r="U20" i="47"/>
  <c r="O51" i="47"/>
  <c r="U108" i="47"/>
  <c r="U39" i="47"/>
  <c r="U109" i="47"/>
  <c r="U92" i="47"/>
  <c r="AA59" i="47"/>
  <c r="AA119" i="47"/>
  <c r="O140" i="47"/>
  <c r="N1" i="123"/>
  <c r="U68" i="47"/>
  <c r="O117" i="47"/>
  <c r="I50" i="47"/>
  <c r="O62" i="47"/>
  <c r="I62" i="47"/>
  <c r="I72" i="47"/>
  <c r="U77" i="47"/>
  <c r="I40" i="47"/>
  <c r="I37" i="47"/>
  <c r="I91" i="47"/>
  <c r="AA19" i="47"/>
  <c r="I29" i="47"/>
  <c r="O148" i="47"/>
  <c r="O60" i="47"/>
  <c r="AF1" i="123"/>
  <c r="U31" i="47"/>
  <c r="G1" i="123"/>
  <c r="AA123" i="47"/>
  <c r="O130" i="47"/>
  <c r="I143" i="47"/>
  <c r="AA43" i="47"/>
  <c r="I1" i="123"/>
  <c r="O79" i="47"/>
  <c r="AA82" i="47"/>
  <c r="I28" i="47"/>
  <c r="J1" i="123"/>
  <c r="U148" i="47"/>
  <c r="O128" i="47"/>
  <c r="AA146" i="47"/>
  <c r="U75" i="47"/>
  <c r="AA89" i="47"/>
  <c r="AA134" i="47"/>
  <c r="I83" i="47"/>
  <c r="I127" i="47"/>
  <c r="U52" i="47"/>
  <c r="U38" i="47"/>
  <c r="U93" i="47"/>
  <c r="O65" i="47"/>
  <c r="AE1" i="123"/>
  <c r="O122" i="47"/>
  <c r="AA148" i="47"/>
  <c r="P1" i="123"/>
  <c r="I89" i="47"/>
  <c r="I90" i="47"/>
  <c r="U137" i="47"/>
  <c r="O121" i="47"/>
  <c r="O16" i="47"/>
  <c r="AA36" i="47"/>
  <c r="AA48" i="47"/>
  <c r="I85" i="47"/>
  <c r="U1" i="123"/>
  <c r="AA140" i="47"/>
  <c r="AA41" i="47"/>
  <c r="O84" i="47"/>
  <c r="AA51" i="47"/>
  <c r="U40" i="47"/>
  <c r="AA143" i="47"/>
  <c r="U114" i="47"/>
  <c r="AA111" i="47"/>
  <c r="I92" i="47"/>
  <c r="R1" i="123"/>
  <c r="I105" i="47"/>
  <c r="U121" i="47"/>
  <c r="AA101" i="47"/>
  <c r="O56" i="47"/>
  <c r="O127" i="47"/>
  <c r="U13" i="47"/>
  <c r="O102" i="47"/>
  <c r="AA131" i="47"/>
  <c r="I59" i="47"/>
  <c r="T1" i="123"/>
  <c r="U64" i="47"/>
  <c r="I26" i="47"/>
  <c r="I17" i="47"/>
  <c r="I148" i="47"/>
  <c r="U54" i="47"/>
  <c r="AA15" i="47"/>
  <c r="O50" i="47"/>
  <c r="U61" i="47"/>
  <c r="U132" i="47"/>
  <c r="I68" i="47"/>
  <c r="I43" i="47"/>
  <c r="O94" i="47"/>
  <c r="U100" i="47"/>
  <c r="U118" i="47"/>
  <c r="O103" i="47"/>
  <c r="O66" i="47"/>
  <c r="M1" i="123"/>
  <c r="AA16" i="47"/>
  <c r="AA120" i="47"/>
  <c r="I45" i="47"/>
  <c r="AA128" i="47"/>
  <c r="AA64" i="47"/>
  <c r="I66" i="47"/>
  <c r="U70" i="47"/>
  <c r="AC1" i="123"/>
  <c r="U97" i="47"/>
  <c r="O75" i="47"/>
  <c r="U59" i="47"/>
  <c r="AA58" i="47"/>
  <c r="AA103" i="47"/>
  <c r="U47" i="47"/>
  <c r="U71" i="47"/>
  <c r="O30" i="47"/>
  <c r="AA93" i="47"/>
  <c r="U119" i="47"/>
  <c r="D1" i="123"/>
  <c r="I53" i="47"/>
  <c r="I36" i="47"/>
  <c r="O32" i="47"/>
  <c r="O64" i="47"/>
  <c r="E1" i="123"/>
  <c r="I130" i="47"/>
  <c r="U72" i="47"/>
  <c r="U57" i="47"/>
  <c r="U120" i="47"/>
  <c r="O37" i="47"/>
  <c r="U85" i="47"/>
  <c r="I136" i="47"/>
  <c r="I131" i="47"/>
  <c r="AA47" i="47"/>
  <c r="O52" i="47"/>
  <c r="U45" i="47"/>
  <c r="I109" i="47"/>
  <c r="O92" i="47"/>
  <c r="O80" i="47"/>
  <c r="U44" i="47"/>
  <c r="I112" i="47"/>
  <c r="AA76" i="47"/>
  <c r="I41" i="47"/>
  <c r="O28" i="47"/>
  <c r="I46" i="47"/>
  <c r="I139" i="47"/>
  <c r="U87" i="47"/>
  <c r="I30" i="47"/>
  <c r="O42" i="47"/>
  <c r="I138" i="47"/>
  <c r="AA132" i="47"/>
  <c r="U88" i="47"/>
  <c r="AA110" i="47"/>
  <c r="AA141" i="47"/>
  <c r="I110" i="47"/>
  <c r="U96" i="47"/>
  <c r="U27" i="47"/>
  <c r="I146" i="47"/>
  <c r="AA26" i="47"/>
  <c r="O38" i="47"/>
  <c r="AA95" i="47"/>
  <c r="I20" i="47"/>
  <c r="AA42" i="47"/>
  <c r="U134" i="47"/>
  <c r="O115" i="47"/>
  <c r="I116" i="47"/>
  <c r="O147" i="47"/>
  <c r="I142" i="47"/>
  <c r="I81" i="47"/>
  <c r="A1" i="123"/>
  <c r="O100" i="47"/>
  <c r="O90" i="47"/>
  <c r="W1" i="123"/>
  <c r="O70" i="47"/>
  <c r="U133" i="47"/>
  <c r="O35" i="47"/>
  <c r="O129" i="47"/>
  <c r="O97" i="47"/>
  <c r="U117" i="47"/>
  <c r="AA70" i="47"/>
  <c r="O20" i="47"/>
  <c r="I65" i="47"/>
  <c r="U65" i="47"/>
  <c r="O46" i="47"/>
  <c r="U122" i="47"/>
  <c r="O93" i="47"/>
  <c r="I22" i="47"/>
  <c r="I135" i="47"/>
  <c r="U143" i="47"/>
  <c r="U50" i="47"/>
  <c r="O71" i="47"/>
  <c r="AA18" i="47"/>
  <c r="U36" i="47"/>
  <c r="U130" i="47"/>
  <c r="U94" i="47"/>
  <c r="AA81" i="47"/>
  <c r="U53" i="47"/>
  <c r="U104" i="47"/>
  <c r="AA49" i="47"/>
  <c r="U90" i="47"/>
  <c r="I128" i="47"/>
  <c r="AA44" i="47"/>
  <c r="O133" i="47"/>
  <c r="AA92" i="47"/>
  <c r="O15" i="47"/>
  <c r="AA23" i="47"/>
  <c r="O113" i="47"/>
  <c r="AA80" i="47"/>
  <c r="U29" i="47"/>
  <c r="I106" i="47"/>
  <c r="O126" i="47"/>
  <c r="U103" i="47"/>
  <c r="U124" i="47"/>
  <c r="U62" i="47"/>
  <c r="O114" i="47"/>
  <c r="U138" i="47"/>
  <c r="U115" i="47"/>
  <c r="O1" i="123"/>
  <c r="O89" i="47"/>
  <c r="U14" i="47"/>
  <c r="AA46" i="47"/>
  <c r="O111" i="47"/>
  <c r="U16" i="47"/>
  <c r="I117" i="47"/>
  <c r="I86" i="47"/>
  <c r="I54" i="47"/>
  <c r="I93" i="47"/>
  <c r="U139" i="47"/>
  <c r="O123" i="47"/>
  <c r="U58" i="47"/>
  <c r="U136" i="47"/>
  <c r="O136" i="47"/>
  <c r="I39" i="47"/>
  <c r="AA84" i="47"/>
  <c r="I49" i="47"/>
  <c r="O59" i="47"/>
  <c r="AA79" i="47"/>
  <c r="AA17" i="47"/>
  <c r="O91" i="47"/>
  <c r="O22" i="47"/>
  <c r="AA85" i="47"/>
  <c r="AA66" i="47"/>
  <c r="AA52" i="47"/>
  <c r="AA87" i="47"/>
  <c r="O58" i="47"/>
  <c r="O54" i="47"/>
  <c r="AA39" i="47"/>
  <c r="O40" i="47"/>
  <c r="U41" i="47"/>
  <c r="AA65" i="47"/>
  <c r="AA147" i="47"/>
  <c r="O81" i="47"/>
  <c r="U142" i="47"/>
  <c r="I111" i="47"/>
  <c r="I31" i="47"/>
  <c r="O145" i="47"/>
  <c r="O105" i="47"/>
  <c r="AA75" i="47"/>
  <c r="I97" i="47"/>
  <c r="AA104" i="47"/>
  <c r="I145" i="47"/>
  <c r="Q1" i="123"/>
  <c r="AA13" i="47"/>
  <c r="AA73" i="47"/>
  <c r="AA86" i="47"/>
  <c r="O118" i="47"/>
  <c r="AA127" i="47"/>
  <c r="U91" i="47"/>
  <c r="O48" i="47"/>
  <c r="I52" i="47"/>
  <c r="I88" i="47"/>
  <c r="I94" i="47"/>
  <c r="I147" i="47"/>
  <c r="I77" i="47"/>
  <c r="O139" i="47"/>
  <c r="I125" i="47"/>
  <c r="AA25" i="47"/>
  <c r="AA40" i="47"/>
  <c r="AA32" i="47"/>
  <c r="I122" i="47"/>
  <c r="O107" i="47"/>
  <c r="AA130" i="47"/>
  <c r="O73" i="47"/>
  <c r="I19" i="47"/>
  <c r="I98" i="47"/>
  <c r="O110" i="47"/>
  <c r="AA107" i="47"/>
  <c r="O25" i="47"/>
  <c r="U60" i="47"/>
  <c r="O72" i="47"/>
  <c r="U21" i="47"/>
  <c r="AA50" i="47"/>
  <c r="AA112" i="47"/>
  <c r="U111" i="47"/>
  <c r="U32" i="47"/>
  <c r="I47" i="47"/>
  <c r="O67" i="47"/>
  <c r="I32" i="47"/>
  <c r="U37" i="47"/>
  <c r="O78" i="47"/>
  <c r="AA61" i="47"/>
  <c r="O77" i="47"/>
  <c r="O74" i="47"/>
  <c r="I58" i="47"/>
  <c r="U66" i="47"/>
  <c r="O104" i="47"/>
  <c r="U26" i="47"/>
  <c r="U35" i="47"/>
  <c r="O98" i="47"/>
  <c r="I71" i="47"/>
  <c r="AA124" i="47"/>
  <c r="AA54" i="47"/>
  <c r="I124" i="47"/>
  <c r="I118" i="47"/>
  <c r="AA121" i="47"/>
  <c r="AA11" i="47"/>
  <c r="AA78" i="47"/>
  <c r="AA135" i="47"/>
  <c r="AA108" i="47"/>
  <c r="O85" i="47"/>
  <c r="I126" i="47"/>
  <c r="U105" i="47"/>
  <c r="S1" i="123"/>
  <c r="O11" i="47"/>
  <c r="U33" i="47"/>
  <c r="U116" i="47"/>
  <c r="U101" i="47"/>
  <c r="AA77" i="47"/>
  <c r="O106" i="47"/>
  <c r="O29" i="47"/>
  <c r="AA1" i="123"/>
  <c r="U69" i="47"/>
  <c r="AA139" i="47"/>
  <c r="I13" i="47"/>
  <c r="X1" i="123"/>
  <c r="I55" i="47"/>
  <c r="I108" i="47"/>
  <c r="AA45" i="47"/>
  <c r="U84" i="47"/>
  <c r="AA20" i="47"/>
  <c r="U107" i="47"/>
  <c r="AA100" i="47"/>
  <c r="U11" i="47"/>
  <c r="AA71" i="47"/>
  <c r="AA106" i="47"/>
  <c r="I44" i="47"/>
  <c r="I87" i="47"/>
  <c r="I74" i="47"/>
  <c r="AA97" i="47"/>
  <c r="I14" i="47"/>
  <c r="U135" i="47"/>
  <c r="U78" i="47"/>
  <c r="I120" i="47"/>
  <c r="O88" i="47"/>
  <c r="U51" i="47"/>
  <c r="O116" i="47"/>
  <c r="I70" i="47"/>
  <c r="AA34" i="47"/>
  <c r="O135" i="47"/>
  <c r="I76" i="47"/>
  <c r="AA53" i="47"/>
  <c r="AA133" i="47"/>
  <c r="I104" i="47"/>
  <c r="I78" i="47"/>
  <c r="AA74" i="47"/>
  <c r="I35" i="47"/>
  <c r="U83" i="47"/>
  <c r="O124" i="47"/>
  <c r="U24" i="47"/>
  <c r="O146" i="47"/>
  <c r="O137" i="47"/>
  <c r="U63" i="47"/>
  <c r="I60" i="47"/>
  <c r="O96" i="47"/>
  <c r="AA63" i="47"/>
  <c r="I18" i="47"/>
  <c r="I21" i="47"/>
  <c r="O45" i="47"/>
  <c r="AA28" i="47"/>
  <c r="U81" i="47"/>
  <c r="I101" i="47"/>
  <c r="I123" i="47"/>
  <c r="O33" i="47"/>
  <c r="I38" i="47"/>
  <c r="AA55" i="47"/>
  <c r="AA67" i="47"/>
  <c r="O83" i="47"/>
  <c r="U42" i="47"/>
  <c r="O31" i="47"/>
  <c r="O86" i="47"/>
  <c r="I121" i="47"/>
  <c r="U113" i="47"/>
  <c r="U49" i="47"/>
  <c r="U80" i="47"/>
  <c r="AA30" i="47"/>
  <c r="I48" i="47"/>
  <c r="U46" i="47"/>
  <c r="I144" i="47"/>
  <c r="O120" i="47"/>
  <c r="I96" i="47"/>
  <c r="I141" i="47"/>
  <c r="O76" i="47"/>
  <c r="F1" i="123"/>
  <c r="U112" i="47"/>
  <c r="U125" i="47"/>
  <c r="O131" i="47"/>
  <c r="I33" i="47"/>
  <c r="U106" i="47"/>
  <c r="U126" i="47"/>
  <c r="AA33" i="47"/>
  <c r="AA68" i="47"/>
  <c r="O138" i="47"/>
  <c r="AA115" i="47"/>
  <c r="U67" i="47"/>
  <c r="I16" i="47"/>
  <c r="I69" i="47"/>
  <c r="I140" i="47"/>
  <c r="O57" i="47"/>
  <c r="I82" i="47"/>
  <c r="AA60" i="47"/>
  <c r="I84" i="47"/>
  <c r="I103" i="47"/>
  <c r="O112" i="47"/>
  <c r="U145" i="47"/>
  <c r="AB1" i="123"/>
  <c r="AA109" i="47"/>
  <c r="U74" i="47"/>
  <c r="I27" i="47"/>
  <c r="AA72" i="47"/>
  <c r="C1" i="123"/>
  <c r="AA27" i="47"/>
  <c r="I99" i="47"/>
  <c r="O87" i="47"/>
  <c r="I132" i="47"/>
  <c r="O34" i="47"/>
  <c r="U23" i="47"/>
  <c r="I115" i="47"/>
  <c r="I114" i="47"/>
  <c r="H1" i="123"/>
  <c r="U18" i="47"/>
  <c r="U30" i="47"/>
  <c r="U79" i="47"/>
  <c r="AA57" i="47"/>
  <c r="AA94" i="47"/>
  <c r="O69" i="47"/>
  <c r="U82" i="47"/>
  <c r="U128" i="47"/>
  <c r="AA126" i="47"/>
  <c r="U43" i="47"/>
  <c r="AA145" i="47"/>
  <c r="I95" i="47"/>
  <c r="O125" i="47"/>
  <c r="AA88" i="47"/>
  <c r="U102" i="47"/>
  <c r="O95" i="47"/>
  <c r="I23" i="47"/>
  <c r="U86" i="47"/>
  <c r="I75" i="47"/>
  <c r="I102" i="47"/>
  <c r="U22" i="47"/>
  <c r="AA129" i="47"/>
  <c r="I100" i="47"/>
  <c r="U147" i="47"/>
  <c r="I133" i="47"/>
  <c r="U127" i="47"/>
  <c r="O143" i="47"/>
  <c r="AA144" i="47"/>
  <c r="U15" i="47"/>
  <c r="O13" i="47"/>
  <c r="U55" i="47"/>
  <c r="U89" i="47"/>
  <c r="U146" i="47"/>
  <c r="I119" i="47"/>
  <c r="AA113" i="47"/>
  <c r="I113" i="47"/>
  <c r="O132" i="47"/>
  <c r="L1" i="123"/>
  <c r="AA105" i="47"/>
  <c r="I134" i="47"/>
  <c r="U17" i="47"/>
  <c r="AA136" i="47"/>
  <c r="O12" i="47"/>
  <c r="O63" i="47"/>
  <c r="AA114" i="47"/>
  <c r="O109" i="47"/>
  <c r="U95" i="47"/>
  <c r="AA96" i="47"/>
  <c r="U19" i="47"/>
  <c r="AA117" i="47"/>
  <c r="AD1" i="123"/>
  <c r="U144" i="47"/>
  <c r="U129" i="47"/>
  <c r="AA102" i="47"/>
  <c r="I11" i="47"/>
  <c r="O55" i="47"/>
  <c r="AA118" i="47"/>
  <c r="I79" i="47"/>
  <c r="O144" i="47"/>
  <c r="O21" i="47"/>
  <c r="U56" i="47"/>
  <c r="U34" i="47"/>
  <c r="V1" i="123"/>
  <c r="O43" i="47"/>
  <c r="I64" i="47"/>
  <c r="AA38" i="47"/>
  <c r="O26" i="47"/>
  <c r="I24" i="47"/>
  <c r="O108" i="47"/>
  <c r="I129" i="47"/>
  <c r="U73" i="47"/>
  <c r="I51" i="47"/>
  <c r="O41" i="47"/>
  <c r="I56" i="47"/>
  <c r="O24" i="47"/>
  <c r="AA35" i="47"/>
  <c r="Z1" i="123"/>
  <c r="O68" i="47"/>
  <c r="I80" i="47"/>
  <c r="O44" i="47"/>
  <c r="O61" i="47"/>
  <c r="O134" i="47"/>
  <c r="I73" i="47"/>
  <c r="I15" i="47"/>
  <c r="O14" i="47"/>
  <c r="Y1" i="123"/>
  <c r="U110" i="47"/>
  <c r="U25" i="47"/>
  <c r="U141" i="47"/>
  <c r="AA62" i="47"/>
  <c r="O101" i="47"/>
  <c r="AA22" i="47"/>
  <c r="AA83" i="47"/>
  <c r="O47" i="47"/>
  <c r="AA122" i="47"/>
  <c r="AA21" i="47"/>
  <c r="AA138" i="47"/>
  <c r="U28" i="47"/>
  <c r="AA99" i="47"/>
  <c r="U98" i="47"/>
  <c r="O99" i="47"/>
  <c r="O23" i="47"/>
  <c r="I67" i="47"/>
  <c r="O27" i="47"/>
  <c r="I57" i="47"/>
  <c r="I25" i="47"/>
  <c r="AA24" i="47"/>
  <c r="AA31" i="47"/>
  <c r="O39" i="47"/>
  <c r="O82" i="47"/>
  <c r="I34" i="47"/>
  <c r="I42" i="47"/>
  <c r="U99" i="47"/>
  <c r="AA98" i="47"/>
  <c r="AA14" i="47"/>
  <c r="O119" i="47"/>
  <c r="K1" i="123"/>
  <c r="O18" i="47"/>
  <c r="U131" i="47"/>
  <c r="AA137" i="47"/>
  <c r="AA91" i="47"/>
  <c r="AA125" i="47"/>
  <c r="I63" i="47"/>
  <c r="O19" i="47"/>
  <c r="O141" i="47"/>
  <c r="O17" i="47"/>
  <c r="O36" i="47"/>
  <c r="H32" i="117" l="1"/>
  <c r="G32" i="117"/>
  <c r="G23" i="117"/>
  <c r="H23" i="117"/>
  <c r="H41" i="117"/>
  <c r="G41" i="117"/>
  <c r="H121" i="117"/>
  <c r="G121" i="117"/>
  <c r="H94" i="117"/>
  <c r="G94" i="117"/>
  <c r="B16" i="89"/>
  <c r="D113" i="50" s="1"/>
  <c r="B15" i="89"/>
  <c r="D112" i="50" s="1"/>
  <c r="A130" i="50"/>
  <c r="B130" i="50"/>
  <c r="D190" i="15"/>
  <c r="K190" i="15" s="1"/>
  <c r="B12" i="86"/>
  <c r="B192" i="15" s="1"/>
  <c r="E10" i="90"/>
  <c r="B12" i="97"/>
  <c r="B126" i="15" s="1"/>
  <c r="D124" i="15"/>
  <c r="K124" i="15" s="1"/>
  <c r="A101" i="50"/>
  <c r="B14" i="100"/>
  <c r="D67" i="50" s="1"/>
  <c r="D112" i="15"/>
  <c r="K112" i="15" s="1"/>
  <c r="B16" i="98"/>
  <c r="D77" i="50" s="1"/>
  <c r="A77" i="50" s="1"/>
  <c r="B15" i="98"/>
  <c r="D76" i="50" s="1"/>
  <c r="B16" i="96"/>
  <c r="D85" i="50" s="1"/>
  <c r="B14" i="97"/>
  <c r="D79" i="50" s="1"/>
  <c r="G105" i="117"/>
  <c r="H105" i="117"/>
  <c r="H52" i="117"/>
  <c r="B14" i="85"/>
  <c r="D127" i="50" s="1"/>
  <c r="E10" i="85"/>
  <c r="E10" i="94"/>
  <c r="B17" i="98"/>
  <c r="D78" i="50" s="1"/>
  <c r="B75" i="50"/>
  <c r="B14" i="88"/>
  <c r="D115" i="50" s="1"/>
  <c r="H54" i="117"/>
  <c r="G54" i="117"/>
  <c r="F34" i="109"/>
  <c r="G63" i="117"/>
  <c r="H63" i="117"/>
  <c r="H36" i="117"/>
  <c r="H9" i="117"/>
  <c r="G9" i="117"/>
  <c r="B14" i="92"/>
  <c r="D99" i="50" s="1"/>
  <c r="B12" i="98"/>
  <c r="B120" i="15" s="1"/>
  <c r="G69" i="117"/>
  <c r="H69" i="117"/>
  <c r="G61" i="117"/>
  <c r="H61" i="117"/>
  <c r="G17" i="117"/>
  <c r="H17" i="117"/>
  <c r="B118" i="50"/>
  <c r="A118" i="50"/>
  <c r="G11" i="117"/>
  <c r="H11" i="117"/>
  <c r="F42" i="120"/>
  <c r="G89" i="117"/>
  <c r="H89" i="117"/>
  <c r="G45" i="117"/>
  <c r="H45" i="117"/>
  <c r="F34" i="120"/>
  <c r="A84" i="50"/>
  <c r="B15" i="85"/>
  <c r="D128" i="50" s="1"/>
  <c r="B16" i="85"/>
  <c r="D129" i="50" s="1"/>
  <c r="A129" i="50" s="1"/>
  <c r="B17" i="89"/>
  <c r="D114" i="50" s="1"/>
  <c r="G85" i="117"/>
  <c r="H85" i="117"/>
  <c r="H111" i="117"/>
  <c r="G111" i="117"/>
  <c r="B17" i="99"/>
  <c r="D74" i="50" s="1"/>
  <c r="A74" i="50" s="1"/>
  <c r="B16" i="92"/>
  <c r="D101" i="50" s="1"/>
  <c r="B101" i="50" s="1"/>
  <c r="F50" i="120"/>
  <c r="A117" i="50"/>
  <c r="B106" i="50"/>
  <c r="B14" i="86"/>
  <c r="D123" i="50" s="1"/>
  <c r="A98" i="50"/>
  <c r="B98" i="50"/>
  <c r="H93" i="117"/>
  <c r="F114" i="120"/>
  <c r="G46" i="117"/>
  <c r="H46" i="117"/>
  <c r="B17" i="97"/>
  <c r="D82" i="50" s="1"/>
  <c r="G62" i="117"/>
  <c r="H62" i="117"/>
  <c r="H31" i="117"/>
  <c r="B14" i="90"/>
  <c r="D107" i="50" s="1"/>
  <c r="G103" i="117"/>
  <c r="H103" i="117"/>
  <c r="F98" i="120"/>
  <c r="B14" i="89"/>
  <c r="D111" i="50" s="1"/>
  <c r="F18" i="109"/>
  <c r="B15" i="91"/>
  <c r="D104" i="50" s="1"/>
  <c r="B104" i="50" s="1"/>
  <c r="B17" i="92"/>
  <c r="D102" i="50" s="1"/>
  <c r="B15" i="88"/>
  <c r="D116" i="50" s="1"/>
  <c r="F90" i="120"/>
  <c r="F18" i="120"/>
  <c r="E30" i="123"/>
  <c r="E15" i="123"/>
  <c r="B16" i="87"/>
  <c r="D121" i="50" s="1"/>
  <c r="E10" i="88"/>
  <c r="E40" i="123"/>
  <c r="E25" i="123"/>
  <c r="A88" i="50"/>
  <c r="G40" i="117"/>
  <c r="B14" i="96"/>
  <c r="D83" i="50" s="1"/>
  <c r="E10" i="92"/>
  <c r="E10" i="96"/>
  <c r="D130" i="15" s="1"/>
  <c r="K130" i="15" s="1"/>
  <c r="H115" i="117"/>
  <c r="H28" i="117"/>
  <c r="F122" i="120"/>
  <c r="F58" i="120"/>
  <c r="G14" i="117"/>
  <c r="H75" i="117"/>
  <c r="B14" i="95"/>
  <c r="D87" i="50" s="1"/>
  <c r="A2" i="63"/>
  <c r="K3" i="47"/>
  <c r="K5" i="47"/>
  <c r="A93" i="50"/>
  <c r="B93" i="50"/>
  <c r="B129" i="50"/>
  <c r="B86" i="50"/>
  <c r="A86" i="50"/>
  <c r="B16" i="97"/>
  <c r="D81" i="50" s="1"/>
  <c r="B15" i="93"/>
  <c r="D96" i="50" s="1"/>
  <c r="B16" i="93"/>
  <c r="D97" i="50" s="1"/>
  <c r="B112" i="50"/>
  <c r="A112" i="50"/>
  <c r="D160" i="15"/>
  <c r="K160" i="15" s="1"/>
  <c r="B12" i="91"/>
  <c r="B162" i="15" s="1"/>
  <c r="A100" i="50"/>
  <c r="B100" i="50"/>
  <c r="B91" i="50"/>
  <c r="A91" i="50"/>
  <c r="A87" i="50"/>
  <c r="B87" i="50"/>
  <c r="A85" i="50"/>
  <c r="B85" i="50"/>
  <c r="A125" i="50"/>
  <c r="B125" i="50"/>
  <c r="B95" i="50"/>
  <c r="A95" i="50"/>
  <c r="A79" i="50"/>
  <c r="B79" i="50"/>
  <c r="A108" i="50"/>
  <c r="A103" i="50"/>
  <c r="B103" i="50"/>
  <c r="A90" i="50"/>
  <c r="A80" i="50"/>
  <c r="A94" i="50"/>
  <c r="B94" i="50"/>
  <c r="A70" i="50"/>
  <c r="B15" i="99"/>
  <c r="D72" i="50" s="1"/>
  <c r="B16" i="99"/>
  <c r="D73" i="50" s="1"/>
  <c r="A104" i="50"/>
  <c r="D148" i="15"/>
  <c r="K148" i="15" s="1"/>
  <c r="B12" i="93"/>
  <c r="B150" i="15" s="1"/>
  <c r="B12" i="96"/>
  <c r="B132" i="15" s="1"/>
  <c r="E10" i="100"/>
  <c r="B14" i="99"/>
  <c r="D71" i="50" s="1"/>
  <c r="D196" i="15"/>
  <c r="K196" i="15" s="1"/>
  <c r="B12" i="85"/>
  <c r="B198" i="15" s="1"/>
  <c r="H106" i="117"/>
  <c r="H84" i="117"/>
  <c r="H58" i="117"/>
  <c r="H44" i="117"/>
  <c r="H13" i="117"/>
  <c r="H6" i="117"/>
  <c r="K4" i="47"/>
  <c r="H120" i="117"/>
  <c r="H119" i="117"/>
  <c r="H118" i="117"/>
  <c r="G117" i="117"/>
  <c r="H110" i="117"/>
  <c r="H109" i="117"/>
  <c r="H108" i="117"/>
  <c r="H98" i="117"/>
  <c r="H90" i="117"/>
  <c r="H74" i="117"/>
  <c r="G73" i="117"/>
  <c r="H50" i="117"/>
  <c r="H16" i="117"/>
  <c r="G15" i="117"/>
  <c r="H8" i="117"/>
  <c r="AE112" i="47"/>
  <c r="E520" i="63" s="1"/>
  <c r="B412" i="61"/>
  <c r="AQ112" i="47"/>
  <c r="AB112" i="47"/>
  <c r="AD112" i="47"/>
  <c r="AF112" i="47"/>
  <c r="F520" i="63" s="1"/>
  <c r="AC112" i="47"/>
  <c r="A520" i="63"/>
  <c r="A136" i="63"/>
  <c r="N142" i="47"/>
  <c r="F136" i="63" s="1"/>
  <c r="K142" i="47"/>
  <c r="C136" i="63" s="1"/>
  <c r="M142" i="47"/>
  <c r="AN142" i="47"/>
  <c r="B92" i="61"/>
  <c r="AB32" i="47"/>
  <c r="AD32" i="47"/>
  <c r="AE32" i="47"/>
  <c r="E440" i="63" s="1"/>
  <c r="AQ32" i="47"/>
  <c r="A440" i="63"/>
  <c r="AC32" i="47"/>
  <c r="AF32" i="47"/>
  <c r="F440" i="63" s="1"/>
  <c r="AO144" i="47"/>
  <c r="S144" i="47"/>
  <c r="E276" i="63" s="1"/>
  <c r="A276" i="63"/>
  <c r="T144" i="47"/>
  <c r="F276" i="63" s="1"/>
  <c r="Q144" i="47"/>
  <c r="C276" i="63" s="1"/>
  <c r="AF55" i="47"/>
  <c r="F463" i="63" s="1"/>
  <c r="AQ55" i="47"/>
  <c r="AD55" i="47"/>
  <c r="B184" i="61"/>
  <c r="AE55" i="47"/>
  <c r="E463" i="63" s="1"/>
  <c r="A463" i="63"/>
  <c r="AC55" i="47"/>
  <c r="AB55" i="47"/>
  <c r="B287" i="61"/>
  <c r="Y81" i="47"/>
  <c r="E351" i="63" s="1"/>
  <c r="W81" i="47"/>
  <c r="Z81" i="47"/>
  <c r="F351" i="63" s="1"/>
  <c r="A351" i="63"/>
  <c r="AP81" i="47"/>
  <c r="Q98" i="47"/>
  <c r="T98" i="47"/>
  <c r="F230" i="63" s="1"/>
  <c r="A230" i="63"/>
  <c r="B354" i="61"/>
  <c r="S98" i="47"/>
  <c r="E230" i="63" s="1"/>
  <c r="AO98" i="47"/>
  <c r="AF62" i="47"/>
  <c r="F470" i="63" s="1"/>
  <c r="AB62" i="47"/>
  <c r="AE62" i="47"/>
  <c r="E470" i="63" s="1"/>
  <c r="AD62" i="47"/>
  <c r="A470" i="63"/>
  <c r="AC62" i="47"/>
  <c r="AQ62" i="47"/>
  <c r="B212" i="61"/>
  <c r="B71" i="61"/>
  <c r="Y27" i="47"/>
  <c r="E297" i="63" s="1"/>
  <c r="W27" i="47"/>
  <c r="Z27" i="47"/>
  <c r="F297" i="63" s="1"/>
  <c r="A297" i="63"/>
  <c r="AP27" i="47"/>
  <c r="K55" i="47"/>
  <c r="B181" i="61"/>
  <c r="M55" i="47"/>
  <c r="AN55" i="47"/>
  <c r="A49" i="63"/>
  <c r="N55" i="47"/>
  <c r="F49" i="63" s="1"/>
  <c r="A163" i="63"/>
  <c r="AO31" i="47"/>
  <c r="Q31" i="47"/>
  <c r="S31" i="47"/>
  <c r="E163" i="63" s="1"/>
  <c r="B86" i="61"/>
  <c r="T31" i="47"/>
  <c r="F163" i="63" s="1"/>
  <c r="B306" i="61"/>
  <c r="T86" i="47"/>
  <c r="F218" i="63" s="1"/>
  <c r="A218" i="63"/>
  <c r="S86" i="47"/>
  <c r="E218" i="63" s="1"/>
  <c r="AO86" i="47"/>
  <c r="Q86" i="47"/>
  <c r="Z105" i="47"/>
  <c r="F375" i="63" s="1"/>
  <c r="W105" i="47"/>
  <c r="B383" i="61"/>
  <c r="A375" i="63"/>
  <c r="Y105" i="47"/>
  <c r="E375" i="63" s="1"/>
  <c r="AP105" i="47"/>
  <c r="B404" i="61"/>
  <c r="AF110" i="47"/>
  <c r="F518" i="63" s="1"/>
  <c r="AB110" i="47"/>
  <c r="AD110" i="47"/>
  <c r="AE110" i="47"/>
  <c r="E518" i="63" s="1"/>
  <c r="AQ110" i="47"/>
  <c r="A518" i="63"/>
  <c r="AC110" i="47"/>
  <c r="Q141" i="47"/>
  <c r="C273" i="63" s="1"/>
  <c r="A273" i="63"/>
  <c r="T141" i="47"/>
  <c r="F273" i="63" s="1"/>
  <c r="AO141" i="47"/>
  <c r="S141" i="47"/>
  <c r="E273" i="63" s="1"/>
  <c r="AQ107" i="47"/>
  <c r="AB107" i="47"/>
  <c r="AC107" i="47"/>
  <c r="A515" i="63"/>
  <c r="AE107" i="47"/>
  <c r="E515" i="63" s="1"/>
  <c r="AF107" i="47"/>
  <c r="F515" i="63" s="1"/>
  <c r="B392" i="61"/>
  <c r="AD107" i="47"/>
  <c r="Z134" i="47"/>
  <c r="F404" i="63" s="1"/>
  <c r="B499" i="61"/>
  <c r="Y134" i="47"/>
  <c r="E404" i="63" s="1"/>
  <c r="W134" i="47"/>
  <c r="AP134" i="47"/>
  <c r="A404" i="63"/>
  <c r="A534" i="63"/>
  <c r="AE126" i="47"/>
  <c r="E534" i="63" s="1"/>
  <c r="B468" i="61"/>
  <c r="AF126" i="47"/>
  <c r="F534" i="63" s="1"/>
  <c r="AQ126" i="47"/>
  <c r="AB126" i="47"/>
  <c r="AC126" i="47"/>
  <c r="AD126" i="47"/>
  <c r="AC42" i="47"/>
  <c r="A450" i="63"/>
  <c r="AE42" i="47"/>
  <c r="E450" i="63" s="1"/>
  <c r="AB42" i="47"/>
  <c r="AQ42" i="47"/>
  <c r="B132" i="61"/>
  <c r="AD42" i="47"/>
  <c r="AF42" i="47"/>
  <c r="F450" i="63" s="1"/>
  <c r="AN20" i="47"/>
  <c r="K20" i="47"/>
  <c r="A14" i="63"/>
  <c r="B41" i="61"/>
  <c r="M20" i="47"/>
  <c r="N20" i="47"/>
  <c r="F14" i="63" s="1"/>
  <c r="Q41" i="47"/>
  <c r="AO41" i="47"/>
  <c r="B126" i="61"/>
  <c r="A173" i="63"/>
  <c r="T41" i="47"/>
  <c r="F173" i="63" s="1"/>
  <c r="S41" i="47"/>
  <c r="E173" i="63" s="1"/>
  <c r="A516" i="63"/>
  <c r="B396" i="61"/>
  <c r="AD108" i="47"/>
  <c r="AC108" i="47"/>
  <c r="AQ108" i="47"/>
  <c r="AE108" i="47"/>
  <c r="E516" i="63" s="1"/>
  <c r="AB108" i="47"/>
  <c r="AF108" i="47"/>
  <c r="F516" i="63" s="1"/>
  <c r="AP123" i="47"/>
  <c r="Y123" i="47"/>
  <c r="E393" i="63" s="1"/>
  <c r="W123" i="47"/>
  <c r="B455" i="61"/>
  <c r="A393" i="63"/>
  <c r="Z123" i="47"/>
  <c r="F393" i="63" s="1"/>
  <c r="N126" i="47"/>
  <c r="F120" i="63" s="1"/>
  <c r="M126" i="47"/>
  <c r="A120" i="63"/>
  <c r="AN126" i="47"/>
  <c r="K126" i="47"/>
  <c r="B465" i="61"/>
  <c r="A425" i="63"/>
  <c r="AD17" i="47"/>
  <c r="AB17" i="47"/>
  <c r="AC17" i="47"/>
  <c r="AE17" i="47"/>
  <c r="E425" i="63" s="1"/>
  <c r="AF17" i="47"/>
  <c r="F425" i="63" s="1"/>
  <c r="B32" i="61"/>
  <c r="AQ17" i="47"/>
  <c r="Q105" i="47"/>
  <c r="AO105" i="47"/>
  <c r="A237" i="63"/>
  <c r="T105" i="47"/>
  <c r="F237" i="63" s="1"/>
  <c r="B382" i="61"/>
  <c r="S105" i="47"/>
  <c r="E237" i="63" s="1"/>
  <c r="K75" i="47"/>
  <c r="M75" i="47"/>
  <c r="B261" i="61"/>
  <c r="A69" i="63"/>
  <c r="N75" i="47"/>
  <c r="F69" i="63" s="1"/>
  <c r="AN75" i="47"/>
  <c r="K148" i="47"/>
  <c r="C142" i="63" s="1"/>
  <c r="AN148" i="47"/>
  <c r="A142" i="63"/>
  <c r="M148" i="47"/>
  <c r="N148" i="47"/>
  <c r="F142" i="63" s="1"/>
  <c r="AC12" i="47"/>
  <c r="AQ12" i="47"/>
  <c r="AF12" i="47"/>
  <c r="F420" i="63" s="1"/>
  <c r="AE12" i="47"/>
  <c r="E420" i="63" s="1"/>
  <c r="AD12" i="47"/>
  <c r="AB12" i="47"/>
  <c r="A420" i="63"/>
  <c r="B12" i="61"/>
  <c r="Y75" i="47"/>
  <c r="E345" i="63" s="1"/>
  <c r="W75" i="47"/>
  <c r="AP75" i="47"/>
  <c r="Z75" i="47"/>
  <c r="F345" i="63" s="1"/>
  <c r="B263" i="61"/>
  <c r="A345" i="63"/>
  <c r="A165" i="63"/>
  <c r="S33" i="47"/>
  <c r="E165" i="63" s="1"/>
  <c r="T33" i="47"/>
  <c r="F165" i="63" s="1"/>
  <c r="Q33" i="47"/>
  <c r="B94" i="61"/>
  <c r="AO33" i="47"/>
  <c r="B480" i="61"/>
  <c r="AC129" i="47"/>
  <c r="AQ129" i="47"/>
  <c r="AB129" i="47"/>
  <c r="AD129" i="47"/>
  <c r="A537" i="63"/>
  <c r="AE129" i="47"/>
  <c r="E537" i="63" s="1"/>
  <c r="AF129" i="47"/>
  <c r="F537" i="63" s="1"/>
  <c r="AB47" i="47"/>
  <c r="AF47" i="47"/>
  <c r="F455" i="63" s="1"/>
  <c r="AQ47" i="47"/>
  <c r="AD47" i="47"/>
  <c r="AC47" i="47"/>
  <c r="AE47" i="47"/>
  <c r="E455" i="63" s="1"/>
  <c r="B152" i="61"/>
  <c r="A455" i="63"/>
  <c r="A196" i="63"/>
  <c r="AO64" i="47"/>
  <c r="S64" i="47"/>
  <c r="E196" i="63" s="1"/>
  <c r="B218" i="61"/>
  <c r="Q64" i="47"/>
  <c r="T64" i="47"/>
  <c r="F196" i="63" s="1"/>
  <c r="A302" i="63"/>
  <c r="B91" i="61"/>
  <c r="Y32" i="47"/>
  <c r="E302" i="63" s="1"/>
  <c r="Z32" i="47"/>
  <c r="F302" i="63" s="1"/>
  <c r="AP32" i="47"/>
  <c r="W32" i="47"/>
  <c r="A417" i="63"/>
  <c r="Y147" i="47"/>
  <c r="E417" i="63" s="1"/>
  <c r="W147" i="47"/>
  <c r="C417" i="63" s="1"/>
  <c r="Z147" i="47"/>
  <c r="F417" i="63" s="1"/>
  <c r="AP147" i="47"/>
  <c r="K138" i="47"/>
  <c r="N138" i="47"/>
  <c r="F132" i="63" s="1"/>
  <c r="A132" i="63"/>
  <c r="B513" i="61"/>
  <c r="M138" i="47"/>
  <c r="AN138" i="47"/>
  <c r="B357" i="61"/>
  <c r="K99" i="47"/>
  <c r="N99" i="47"/>
  <c r="F93" i="63" s="1"/>
  <c r="A93" i="63"/>
  <c r="M99" i="47"/>
  <c r="AN99" i="47"/>
  <c r="S58" i="47"/>
  <c r="E190" i="63" s="1"/>
  <c r="T58" i="47"/>
  <c r="F190" i="63" s="1"/>
  <c r="A190" i="63"/>
  <c r="Q58" i="47"/>
  <c r="B194" i="61"/>
  <c r="AO58" i="47"/>
  <c r="AN39" i="47"/>
  <c r="B117" i="61"/>
  <c r="K39" i="47"/>
  <c r="N39" i="47"/>
  <c r="F33" i="63" s="1"/>
  <c r="M39" i="47"/>
  <c r="A33" i="63"/>
  <c r="A462" i="63"/>
  <c r="B180" i="61"/>
  <c r="AB54" i="47"/>
  <c r="AC54" i="47"/>
  <c r="AD54" i="47"/>
  <c r="AE54" i="47"/>
  <c r="E462" i="63" s="1"/>
  <c r="AF54" i="47"/>
  <c r="F462" i="63" s="1"/>
  <c r="AQ54" i="47"/>
  <c r="AE73" i="47"/>
  <c r="E481" i="63" s="1"/>
  <c r="AQ73" i="47"/>
  <c r="AB73" i="47"/>
  <c r="AC73" i="47"/>
  <c r="B256" i="61"/>
  <c r="AD73" i="47"/>
  <c r="A481" i="63"/>
  <c r="AF73" i="47"/>
  <c r="F481" i="63" s="1"/>
  <c r="AP41" i="47"/>
  <c r="Y41" i="47"/>
  <c r="E311" i="63" s="1"/>
  <c r="A311" i="63"/>
  <c r="Z41" i="47"/>
  <c r="F311" i="63" s="1"/>
  <c r="W41" i="47"/>
  <c r="B127" i="61"/>
  <c r="B298" i="61"/>
  <c r="S84" i="47"/>
  <c r="E216" i="63" s="1"/>
  <c r="T84" i="47"/>
  <c r="F216" i="63" s="1"/>
  <c r="AO84" i="47"/>
  <c r="A216" i="63"/>
  <c r="Q84" i="47"/>
  <c r="A315" i="63"/>
  <c r="B143" i="61"/>
  <c r="W45" i="47"/>
  <c r="Y45" i="47"/>
  <c r="E315" i="63" s="1"/>
  <c r="Z45" i="47"/>
  <c r="F315" i="63" s="1"/>
  <c r="AP45" i="47"/>
  <c r="B150" i="61"/>
  <c r="A179" i="63"/>
  <c r="S47" i="47"/>
  <c r="E179" i="63" s="1"/>
  <c r="AO47" i="47"/>
  <c r="T47" i="47"/>
  <c r="F179" i="63" s="1"/>
  <c r="Q47" i="47"/>
  <c r="T26" i="47"/>
  <c r="F158" i="63" s="1"/>
  <c r="A158" i="63"/>
  <c r="AO26" i="47"/>
  <c r="Q26" i="47"/>
  <c r="B66" i="61"/>
  <c r="S26" i="47"/>
  <c r="E158" i="63" s="1"/>
  <c r="AD134" i="47"/>
  <c r="AC134" i="47"/>
  <c r="AQ134" i="47"/>
  <c r="AE134" i="47"/>
  <c r="E542" i="63" s="1"/>
  <c r="B500" i="61"/>
  <c r="AB134" i="47"/>
  <c r="A542" i="63"/>
  <c r="AF134" i="47"/>
  <c r="F542" i="63" s="1"/>
  <c r="Z33" i="47"/>
  <c r="F303" i="63" s="1"/>
  <c r="AP33" i="47"/>
  <c r="Y33" i="47"/>
  <c r="E303" i="63" s="1"/>
  <c r="W33" i="47"/>
  <c r="A303" i="63"/>
  <c r="B95" i="61"/>
  <c r="B347" i="61"/>
  <c r="Y96" i="47"/>
  <c r="E366" i="63" s="1"/>
  <c r="W96" i="47"/>
  <c r="Z96" i="47"/>
  <c r="F366" i="63" s="1"/>
  <c r="AP96" i="47"/>
  <c r="A366" i="63"/>
  <c r="S42" i="47"/>
  <c r="E174" i="63" s="1"/>
  <c r="AO42" i="47"/>
  <c r="B130" i="61"/>
  <c r="T42" i="47"/>
  <c r="F174" i="63" s="1"/>
  <c r="Q42" i="47"/>
  <c r="A174" i="63"/>
  <c r="A151" i="63"/>
  <c r="Q19" i="47"/>
  <c r="AO19" i="47"/>
  <c r="B38" i="61"/>
  <c r="S19" i="47"/>
  <c r="E151" i="63" s="1"/>
  <c r="T19" i="47"/>
  <c r="F151" i="63" s="1"/>
  <c r="A9" i="63"/>
  <c r="AN15" i="47"/>
  <c r="B21" i="61"/>
  <c r="N15" i="47"/>
  <c r="F9" i="63" s="1"/>
  <c r="M15" i="47"/>
  <c r="K15" i="47"/>
  <c r="AC115" i="47"/>
  <c r="AE115" i="47"/>
  <c r="E523" i="63" s="1"/>
  <c r="AF115" i="47"/>
  <c r="F523" i="63" s="1"/>
  <c r="A523" i="63"/>
  <c r="B424" i="61"/>
  <c r="AD115" i="47"/>
  <c r="AB115" i="47"/>
  <c r="AQ115" i="47"/>
  <c r="S18" i="47"/>
  <c r="E150" i="63" s="1"/>
  <c r="B34" i="61"/>
  <c r="A150" i="63"/>
  <c r="AO18" i="47"/>
  <c r="T18" i="47"/>
  <c r="F150" i="63" s="1"/>
  <c r="Q18" i="47"/>
  <c r="T107" i="47"/>
  <c r="F239" i="63" s="1"/>
  <c r="A239" i="63"/>
  <c r="AO107" i="47"/>
  <c r="S107" i="47"/>
  <c r="E239" i="63" s="1"/>
  <c r="Q107" i="47"/>
  <c r="B390" i="61"/>
  <c r="S97" i="47"/>
  <c r="E229" i="63" s="1"/>
  <c r="AO97" i="47"/>
  <c r="A229" i="63"/>
  <c r="B350" i="61"/>
  <c r="T97" i="47"/>
  <c r="F229" i="63" s="1"/>
  <c r="Q97" i="47"/>
  <c r="A310" i="63"/>
  <c r="W40" i="47"/>
  <c r="AP40" i="47"/>
  <c r="Y40" i="47"/>
  <c r="E310" i="63" s="1"/>
  <c r="Z40" i="47"/>
  <c r="F310" i="63" s="1"/>
  <c r="B123" i="61"/>
  <c r="Z87" i="47"/>
  <c r="F357" i="63" s="1"/>
  <c r="A357" i="63"/>
  <c r="W87" i="47"/>
  <c r="AP87" i="47"/>
  <c r="B311" i="61"/>
  <c r="Y87" i="47"/>
  <c r="E357" i="63" s="1"/>
  <c r="S77" i="47"/>
  <c r="E209" i="63" s="1"/>
  <c r="Q77" i="47"/>
  <c r="B270" i="61"/>
  <c r="A209" i="63"/>
  <c r="AO77" i="47"/>
  <c r="T77" i="47"/>
  <c r="F209" i="63" s="1"/>
  <c r="A275" i="63"/>
  <c r="S143" i="47"/>
  <c r="E275" i="63" s="1"/>
  <c r="AO143" i="47"/>
  <c r="Q143" i="47"/>
  <c r="C275" i="63" s="1"/>
  <c r="T143" i="47"/>
  <c r="F275" i="63" s="1"/>
  <c r="AQ146" i="47"/>
  <c r="AB146" i="47"/>
  <c r="B554" i="63" s="1"/>
  <c r="AD146" i="47"/>
  <c r="D554" i="63" s="1"/>
  <c r="AE146" i="47"/>
  <c r="E554" i="63" s="1"/>
  <c r="A554" i="63"/>
  <c r="AF146" i="47"/>
  <c r="F554" i="63" s="1"/>
  <c r="AC146" i="47"/>
  <c r="C554" i="63" s="1"/>
  <c r="Q137" i="47"/>
  <c r="B510" i="61"/>
  <c r="T137" i="47"/>
  <c r="F269" i="63" s="1"/>
  <c r="A269" i="63"/>
  <c r="S137" i="47"/>
  <c r="E269" i="63" s="1"/>
  <c r="AO137" i="47"/>
  <c r="T117" i="47"/>
  <c r="F249" i="63" s="1"/>
  <c r="S117" i="47"/>
  <c r="E249" i="63" s="1"/>
  <c r="Q117" i="47"/>
  <c r="B430" i="61"/>
  <c r="A249" i="63"/>
  <c r="AO117" i="47"/>
  <c r="S48" i="47"/>
  <c r="E180" i="63" s="1"/>
  <c r="T48" i="47"/>
  <c r="F180" i="63" s="1"/>
  <c r="Q48" i="47"/>
  <c r="B154" i="61"/>
  <c r="AO48" i="47"/>
  <c r="A180" i="63"/>
  <c r="AN34" i="47"/>
  <c r="B97" i="61"/>
  <c r="K34" i="47"/>
  <c r="M34" i="47"/>
  <c r="A28" i="63"/>
  <c r="N34" i="47"/>
  <c r="F28" i="63" s="1"/>
  <c r="Z109" i="47"/>
  <c r="F379" i="63" s="1"/>
  <c r="B399" i="61"/>
  <c r="A379" i="63"/>
  <c r="W109" i="47"/>
  <c r="Y109" i="47"/>
  <c r="E379" i="63" s="1"/>
  <c r="AP109" i="47"/>
  <c r="A441" i="63"/>
  <c r="AF33" i="47"/>
  <c r="F441" i="63" s="1"/>
  <c r="AQ33" i="47"/>
  <c r="AE33" i="47"/>
  <c r="E441" i="63" s="1"/>
  <c r="B96" i="61"/>
  <c r="AD33" i="47"/>
  <c r="AC33" i="47"/>
  <c r="AB33" i="47"/>
  <c r="AO32" i="47"/>
  <c r="Q32" i="47"/>
  <c r="S32" i="47"/>
  <c r="E164" i="63" s="1"/>
  <c r="B90" i="61"/>
  <c r="T32" i="47"/>
  <c r="F164" i="63" s="1"/>
  <c r="A164" i="63"/>
  <c r="AN113" i="47"/>
  <c r="N113" i="47"/>
  <c r="F107" i="63" s="1"/>
  <c r="A107" i="63"/>
  <c r="M113" i="47"/>
  <c r="B413" i="61"/>
  <c r="K113" i="47"/>
  <c r="AF132" i="47"/>
  <c r="F540" i="63" s="1"/>
  <c r="AC132" i="47"/>
  <c r="AQ132" i="47"/>
  <c r="B492" i="61"/>
  <c r="A540" i="63"/>
  <c r="AD132" i="47"/>
  <c r="AE132" i="47"/>
  <c r="E540" i="63" s="1"/>
  <c r="AB132" i="47"/>
  <c r="AQ43" i="47"/>
  <c r="AF43" i="47"/>
  <c r="F451" i="63" s="1"/>
  <c r="AC43" i="47"/>
  <c r="AE43" i="47"/>
  <c r="E451" i="63" s="1"/>
  <c r="AB43" i="47"/>
  <c r="B136" i="61"/>
  <c r="AD43" i="47"/>
  <c r="A451" i="63"/>
  <c r="AF36" i="47"/>
  <c r="F444" i="63" s="1"/>
  <c r="AC36" i="47"/>
  <c r="A444" i="63"/>
  <c r="AB36" i="47"/>
  <c r="AD36" i="47"/>
  <c r="B108" i="61"/>
  <c r="AE36" i="47"/>
  <c r="E444" i="63" s="1"/>
  <c r="AQ36" i="47"/>
  <c r="AE103" i="47"/>
  <c r="E511" i="63" s="1"/>
  <c r="AD103" i="47"/>
  <c r="AB103" i="47"/>
  <c r="A511" i="63"/>
  <c r="AC103" i="47"/>
  <c r="B376" i="61"/>
  <c r="AF103" i="47"/>
  <c r="F511" i="63" s="1"/>
  <c r="AQ103" i="47"/>
  <c r="B496" i="61"/>
  <c r="AB133" i="47"/>
  <c r="AD133" i="47"/>
  <c r="AF133" i="47"/>
  <c r="F541" i="63" s="1"/>
  <c r="A541" i="63"/>
  <c r="AC133" i="47"/>
  <c r="AQ133" i="47"/>
  <c r="AE133" i="47"/>
  <c r="E541" i="63" s="1"/>
  <c r="K50" i="47"/>
  <c r="AN50" i="47"/>
  <c r="A44" i="63"/>
  <c r="M50" i="47"/>
  <c r="N50" i="47"/>
  <c r="F44" i="63" s="1"/>
  <c r="B161" i="61"/>
  <c r="B169" i="61"/>
  <c r="M52" i="47"/>
  <c r="AN52" i="47"/>
  <c r="N52" i="47"/>
  <c r="F46" i="63" s="1"/>
  <c r="A46" i="63"/>
  <c r="K52" i="47"/>
  <c r="AD136" i="47"/>
  <c r="AE136" i="47"/>
  <c r="E544" i="63" s="1"/>
  <c r="AC136" i="47"/>
  <c r="B508" i="61"/>
  <c r="AF136" i="47"/>
  <c r="F544" i="63" s="1"/>
  <c r="A544" i="63"/>
  <c r="AQ136" i="47"/>
  <c r="AB136" i="47"/>
  <c r="A388" i="63"/>
  <c r="B435" i="61"/>
  <c r="W118" i="47"/>
  <c r="Z118" i="47"/>
  <c r="F388" i="63" s="1"/>
  <c r="Y118" i="47"/>
  <c r="E388" i="63" s="1"/>
  <c r="AP118" i="47"/>
  <c r="AO25" i="47"/>
  <c r="B62" i="61"/>
  <c r="A157" i="63"/>
  <c r="Q25" i="47"/>
  <c r="T25" i="47"/>
  <c r="F157" i="63" s="1"/>
  <c r="S25" i="47"/>
  <c r="E157" i="63" s="1"/>
  <c r="A62" i="63"/>
  <c r="K68" i="47"/>
  <c r="B233" i="61"/>
  <c r="M68" i="47"/>
  <c r="N68" i="47"/>
  <c r="F62" i="63" s="1"/>
  <c r="AN68" i="47"/>
  <c r="A490" i="63"/>
  <c r="AE82" i="47"/>
  <c r="E490" i="63" s="1"/>
  <c r="AQ82" i="47"/>
  <c r="AD82" i="47"/>
  <c r="AF82" i="47"/>
  <c r="F490" i="63" s="1"/>
  <c r="B292" i="61"/>
  <c r="AC82" i="47"/>
  <c r="AB82" i="47"/>
  <c r="AN86" i="47"/>
  <c r="B305" i="61"/>
  <c r="M86" i="47"/>
  <c r="A80" i="63"/>
  <c r="N86" i="47"/>
  <c r="F80" i="63" s="1"/>
  <c r="K86" i="47"/>
  <c r="M33" i="47"/>
  <c r="N33" i="47"/>
  <c r="F27" i="63" s="1"/>
  <c r="B93" i="61"/>
  <c r="AN33" i="47"/>
  <c r="K33" i="47"/>
  <c r="A27" i="63"/>
  <c r="B147" i="61"/>
  <c r="Z46" i="47"/>
  <c r="F316" i="63" s="1"/>
  <c r="W46" i="47"/>
  <c r="AP46" i="47"/>
  <c r="A316" i="63"/>
  <c r="Y46" i="47"/>
  <c r="E316" i="63" s="1"/>
  <c r="B243" i="61"/>
  <c r="Y70" i="47"/>
  <c r="E340" i="63" s="1"/>
  <c r="Z70" i="47"/>
  <c r="F340" i="63" s="1"/>
  <c r="AP70" i="47"/>
  <c r="W70" i="47"/>
  <c r="A340" i="63"/>
  <c r="N63" i="47"/>
  <c r="F57" i="63" s="1"/>
  <c r="A57" i="63"/>
  <c r="B213" i="61"/>
  <c r="M63" i="47"/>
  <c r="AN63" i="47"/>
  <c r="K63" i="47"/>
  <c r="A39" i="63"/>
  <c r="K45" i="47"/>
  <c r="N45" i="47"/>
  <c r="F39" i="63" s="1"/>
  <c r="B141" i="61"/>
  <c r="M45" i="47"/>
  <c r="AN45" i="47"/>
  <c r="AC41" i="47"/>
  <c r="B128" i="61"/>
  <c r="A449" i="63"/>
  <c r="AD41" i="47"/>
  <c r="AF41" i="47"/>
  <c r="F449" i="63" s="1"/>
  <c r="AQ41" i="47"/>
  <c r="AE41" i="47"/>
  <c r="E449" i="63" s="1"/>
  <c r="AB41" i="47"/>
  <c r="AN40" i="47"/>
  <c r="K40" i="47"/>
  <c r="N40" i="47"/>
  <c r="F34" i="63" s="1"/>
  <c r="B121" i="61"/>
  <c r="M40" i="47"/>
  <c r="A34" i="63"/>
  <c r="AN85" i="47"/>
  <c r="N85" i="47"/>
  <c r="F79" i="63" s="1"/>
  <c r="K85" i="47"/>
  <c r="A79" i="63"/>
  <c r="M85" i="47"/>
  <c r="B301" i="61"/>
  <c r="A70" i="63"/>
  <c r="N76" i="47"/>
  <c r="F70" i="63" s="1"/>
  <c r="K76" i="47"/>
  <c r="AN76" i="47"/>
  <c r="M76" i="47"/>
  <c r="B265" i="61"/>
  <c r="AP124" i="47"/>
  <c r="W124" i="47"/>
  <c r="Z124" i="47"/>
  <c r="F394" i="63" s="1"/>
  <c r="B459" i="61"/>
  <c r="A394" i="63"/>
  <c r="Y124" i="47"/>
  <c r="E394" i="63" s="1"/>
  <c r="AP129" i="47"/>
  <c r="B479" i="61"/>
  <c r="W129" i="47"/>
  <c r="Z129" i="47"/>
  <c r="F399" i="63" s="1"/>
  <c r="A399" i="63"/>
  <c r="Y129" i="47"/>
  <c r="E399" i="63" s="1"/>
  <c r="AP65" i="47"/>
  <c r="B223" i="61"/>
  <c r="A335" i="63"/>
  <c r="Y65" i="47"/>
  <c r="E335" i="63" s="1"/>
  <c r="W65" i="47"/>
  <c r="Z65" i="47"/>
  <c r="F335" i="63" s="1"/>
  <c r="W29" i="47"/>
  <c r="Z29" i="47"/>
  <c r="F299" i="63" s="1"/>
  <c r="B79" i="61"/>
  <c r="AP29" i="47"/>
  <c r="Y29" i="47"/>
  <c r="E299" i="63" s="1"/>
  <c r="A299" i="63"/>
  <c r="A116" i="63"/>
  <c r="K122" i="47"/>
  <c r="N122" i="47"/>
  <c r="F116" i="63" s="1"/>
  <c r="AN122" i="47"/>
  <c r="M122" i="47"/>
  <c r="B449" i="61"/>
  <c r="AP132" i="47"/>
  <c r="Z132" i="47"/>
  <c r="F402" i="63" s="1"/>
  <c r="W132" i="47"/>
  <c r="B491" i="61"/>
  <c r="Y132" i="47"/>
  <c r="E402" i="63" s="1"/>
  <c r="A402" i="63"/>
  <c r="S14" i="47"/>
  <c r="E146" i="63" s="1"/>
  <c r="Q14" i="47"/>
  <c r="B18" i="61"/>
  <c r="A146" i="63"/>
  <c r="T14" i="47"/>
  <c r="F146" i="63" s="1"/>
  <c r="AO14" i="47"/>
  <c r="B444" i="61"/>
  <c r="AD120" i="47"/>
  <c r="AE120" i="47"/>
  <c r="E528" i="63" s="1"/>
  <c r="A528" i="63"/>
  <c r="AQ120" i="47"/>
  <c r="AC120" i="47"/>
  <c r="AB120" i="47"/>
  <c r="AF120" i="47"/>
  <c r="F528" i="63" s="1"/>
  <c r="A403" i="63"/>
  <c r="Y133" i="47"/>
  <c r="E403" i="63" s="1"/>
  <c r="Z133" i="47"/>
  <c r="F403" i="63" s="1"/>
  <c r="W133" i="47"/>
  <c r="B495" i="61"/>
  <c r="AP133" i="47"/>
  <c r="S126" i="47"/>
  <c r="E258" i="63" s="1"/>
  <c r="T126" i="47"/>
  <c r="F258" i="63" s="1"/>
  <c r="A258" i="63"/>
  <c r="AO126" i="47"/>
  <c r="B466" i="61"/>
  <c r="Q126" i="47"/>
  <c r="N129" i="47"/>
  <c r="F123" i="63" s="1"/>
  <c r="B477" i="61"/>
  <c r="K129" i="47"/>
  <c r="M129" i="47"/>
  <c r="AN129" i="47"/>
  <c r="A123" i="63"/>
  <c r="Y77" i="47"/>
  <c r="E347" i="63" s="1"/>
  <c r="A347" i="63"/>
  <c r="Z77" i="47"/>
  <c r="F347" i="63" s="1"/>
  <c r="AP77" i="47"/>
  <c r="B271" i="61"/>
  <c r="W77" i="47"/>
  <c r="B319" i="61"/>
  <c r="A359" i="63"/>
  <c r="W89" i="47"/>
  <c r="Y89" i="47"/>
  <c r="E359" i="63" s="1"/>
  <c r="Z89" i="47"/>
  <c r="F359" i="63" s="1"/>
  <c r="AP89" i="47"/>
  <c r="W59" i="47"/>
  <c r="Z59" i="47"/>
  <c r="F329" i="63" s="1"/>
  <c r="Y59" i="47"/>
  <c r="E329" i="63" s="1"/>
  <c r="B199" i="61"/>
  <c r="AP59" i="47"/>
  <c r="A329" i="63"/>
  <c r="N139" i="47"/>
  <c r="F133" i="63" s="1"/>
  <c r="AN139" i="47"/>
  <c r="A133" i="63"/>
  <c r="K139" i="47"/>
  <c r="C133" i="63" s="1"/>
  <c r="M139" i="47"/>
  <c r="A539" i="63"/>
  <c r="B488" i="61"/>
  <c r="AB131" i="47"/>
  <c r="AQ131" i="47"/>
  <c r="AE131" i="47"/>
  <c r="E539" i="63" s="1"/>
  <c r="AF131" i="47"/>
  <c r="F539" i="63" s="1"/>
  <c r="AD131" i="47"/>
  <c r="AC131" i="47"/>
  <c r="AD97" i="47"/>
  <c r="A505" i="63"/>
  <c r="AC97" i="47"/>
  <c r="AB97" i="47"/>
  <c r="AF97" i="47"/>
  <c r="F505" i="63" s="1"/>
  <c r="AQ97" i="47"/>
  <c r="AE97" i="47"/>
  <c r="E505" i="63" s="1"/>
  <c r="B352" i="61"/>
  <c r="A259" i="63"/>
  <c r="AO127" i="47"/>
  <c r="T127" i="47"/>
  <c r="F259" i="63" s="1"/>
  <c r="S127" i="47"/>
  <c r="E259" i="63" s="1"/>
  <c r="B470" i="61"/>
  <c r="Q127" i="47"/>
  <c r="Y95" i="47"/>
  <c r="E365" i="63" s="1"/>
  <c r="W95" i="47"/>
  <c r="Z95" i="47"/>
  <c r="F365" i="63" s="1"/>
  <c r="A365" i="63"/>
  <c r="B343" i="61"/>
  <c r="AP95" i="47"/>
  <c r="A131" i="63"/>
  <c r="AN137" i="47"/>
  <c r="K137" i="47"/>
  <c r="B509" i="61"/>
  <c r="M137" i="47"/>
  <c r="N137" i="47"/>
  <c r="F131" i="63" s="1"/>
  <c r="AN87" i="47"/>
  <c r="M87" i="47"/>
  <c r="A81" i="63"/>
  <c r="N87" i="47"/>
  <c r="F81" i="63" s="1"/>
  <c r="K87" i="47"/>
  <c r="B309" i="61"/>
  <c r="Y15" i="47"/>
  <c r="E285" i="63" s="1"/>
  <c r="Z15" i="47"/>
  <c r="F285" i="63" s="1"/>
  <c r="A285" i="63"/>
  <c r="AP15" i="47"/>
  <c r="W15" i="47"/>
  <c r="B23" i="61"/>
  <c r="T96" i="47"/>
  <c r="F228" i="63" s="1"/>
  <c r="Q96" i="47"/>
  <c r="AO96" i="47"/>
  <c r="B346" i="61"/>
  <c r="A228" i="63"/>
  <c r="S96" i="47"/>
  <c r="E228" i="63" s="1"/>
  <c r="AF59" i="47"/>
  <c r="F467" i="63" s="1"/>
  <c r="AC59" i="47"/>
  <c r="AE59" i="47"/>
  <c r="E467" i="63" s="1"/>
  <c r="AB59" i="47"/>
  <c r="A467" i="63"/>
  <c r="AD59" i="47"/>
  <c r="AQ59" i="47"/>
  <c r="B200" i="61"/>
  <c r="A106" i="63"/>
  <c r="K112" i="47"/>
  <c r="N112" i="47"/>
  <c r="F106" i="63" s="1"/>
  <c r="M112" i="47"/>
  <c r="B409" i="61"/>
  <c r="AN112" i="47"/>
  <c r="Z53" i="47"/>
  <c r="F323" i="63" s="1"/>
  <c r="AP53" i="47"/>
  <c r="A323" i="63"/>
  <c r="Y53" i="47"/>
  <c r="E323" i="63" s="1"/>
  <c r="B175" i="61"/>
  <c r="W53" i="47"/>
  <c r="AE40" i="47"/>
  <c r="E448" i="63" s="1"/>
  <c r="AD40" i="47"/>
  <c r="AQ40" i="47"/>
  <c r="B124" i="61"/>
  <c r="A448" i="63"/>
  <c r="AF40" i="47"/>
  <c r="F448" i="63" s="1"/>
  <c r="AC40" i="47"/>
  <c r="AB40" i="47"/>
  <c r="AF130" i="47"/>
  <c r="F538" i="63" s="1"/>
  <c r="AB130" i="47"/>
  <c r="A538" i="63"/>
  <c r="AE130" i="47"/>
  <c r="E538" i="63" s="1"/>
  <c r="AD130" i="47"/>
  <c r="AC130" i="47"/>
  <c r="B484" i="61"/>
  <c r="AQ130" i="47"/>
  <c r="AF85" i="47"/>
  <c r="F493" i="63" s="1"/>
  <c r="AQ85" i="47"/>
  <c r="A493" i="63"/>
  <c r="AB85" i="47"/>
  <c r="AE85" i="47"/>
  <c r="E493" i="63" s="1"/>
  <c r="AD85" i="47"/>
  <c r="AC85" i="47"/>
  <c r="B304" i="61"/>
  <c r="B440" i="61"/>
  <c r="AQ119" i="47"/>
  <c r="AC119" i="47"/>
  <c r="A527" i="63"/>
  <c r="AE119" i="47"/>
  <c r="E527" i="63" s="1"/>
  <c r="AF119" i="47"/>
  <c r="F527" i="63" s="1"/>
  <c r="AD119" i="47"/>
  <c r="AB119" i="47"/>
  <c r="Y112" i="47"/>
  <c r="E382" i="63" s="1"/>
  <c r="B411" i="61"/>
  <c r="AP112" i="47"/>
  <c r="W112" i="47"/>
  <c r="Z112" i="47"/>
  <c r="F382" i="63" s="1"/>
  <c r="A382" i="63"/>
  <c r="Z72" i="47"/>
  <c r="F342" i="63" s="1"/>
  <c r="AP72" i="47"/>
  <c r="B251" i="61"/>
  <c r="Y72" i="47"/>
  <c r="E342" i="63" s="1"/>
  <c r="A342" i="63"/>
  <c r="W72" i="47"/>
  <c r="AO131" i="47"/>
  <c r="S131" i="47"/>
  <c r="E263" i="63" s="1"/>
  <c r="A263" i="63"/>
  <c r="B486" i="61"/>
  <c r="T131" i="47"/>
  <c r="F263" i="63" s="1"/>
  <c r="Q131" i="47"/>
  <c r="T118" i="47"/>
  <c r="F250" i="63" s="1"/>
  <c r="A250" i="63"/>
  <c r="S118" i="47"/>
  <c r="E250" i="63" s="1"/>
  <c r="AO118" i="47"/>
  <c r="B434" i="61"/>
  <c r="Q118" i="47"/>
  <c r="B501" i="61"/>
  <c r="A129" i="63"/>
  <c r="K135" i="47"/>
  <c r="M135" i="47"/>
  <c r="AN135" i="47"/>
  <c r="N135" i="47"/>
  <c r="F129" i="63" s="1"/>
  <c r="AP137" i="47"/>
  <c r="A407" i="63"/>
  <c r="W137" i="47"/>
  <c r="Z137" i="47"/>
  <c r="F407" i="63" s="1"/>
  <c r="B511" i="61"/>
  <c r="Y137" i="47"/>
  <c r="E407" i="63" s="1"/>
  <c r="AF118" i="47"/>
  <c r="F526" i="63" s="1"/>
  <c r="AC118" i="47"/>
  <c r="B436" i="61"/>
  <c r="AQ118" i="47"/>
  <c r="AD118" i="47"/>
  <c r="AB118" i="47"/>
  <c r="AE118" i="47"/>
  <c r="E526" i="63" s="1"/>
  <c r="A526" i="63"/>
  <c r="K125" i="47"/>
  <c r="B461" i="61"/>
  <c r="AN125" i="47"/>
  <c r="M125" i="47"/>
  <c r="N125" i="47"/>
  <c r="F119" i="63" s="1"/>
  <c r="A119" i="63"/>
  <c r="K58" i="47"/>
  <c r="B193" i="61"/>
  <c r="A52" i="63"/>
  <c r="AN58" i="47"/>
  <c r="N58" i="47"/>
  <c r="F52" i="63" s="1"/>
  <c r="M58" i="47"/>
  <c r="AN62" i="47"/>
  <c r="B209" i="61"/>
  <c r="M62" i="47"/>
  <c r="K62" i="47"/>
  <c r="A56" i="63"/>
  <c r="N62" i="47"/>
  <c r="F56" i="63" s="1"/>
  <c r="A434" i="63"/>
  <c r="AE26" i="47"/>
  <c r="E434" i="63" s="1"/>
  <c r="AB26" i="47"/>
  <c r="AF26" i="47"/>
  <c r="F434" i="63" s="1"/>
  <c r="AC26" i="47"/>
  <c r="AQ26" i="47"/>
  <c r="AD26" i="47"/>
  <c r="B68" i="61"/>
  <c r="AD50" i="47"/>
  <c r="AQ50" i="47"/>
  <c r="B164" i="61"/>
  <c r="A458" i="63"/>
  <c r="AB50" i="47"/>
  <c r="AC50" i="47"/>
  <c r="AF50" i="47"/>
  <c r="F458" i="63" s="1"/>
  <c r="AE50" i="47"/>
  <c r="E458" i="63" s="1"/>
  <c r="K136" i="47"/>
  <c r="A130" i="63"/>
  <c r="AN136" i="47"/>
  <c r="B505" i="61"/>
  <c r="N136" i="47"/>
  <c r="F130" i="63" s="1"/>
  <c r="M136" i="47"/>
  <c r="Z68" i="47"/>
  <c r="F338" i="63" s="1"/>
  <c r="Y68" i="47"/>
  <c r="E338" i="63" s="1"/>
  <c r="W68" i="47"/>
  <c r="AP68" i="47"/>
  <c r="B235" i="61"/>
  <c r="A338" i="63"/>
  <c r="K145" i="47"/>
  <c r="C139" i="63" s="1"/>
  <c r="M145" i="47"/>
  <c r="AN145" i="47"/>
  <c r="N145" i="47"/>
  <c r="F139" i="63" s="1"/>
  <c r="A139" i="63"/>
  <c r="B348" i="61"/>
  <c r="AD96" i="47"/>
  <c r="AB96" i="47"/>
  <c r="AC96" i="47"/>
  <c r="AF96" i="47"/>
  <c r="F504" i="63" s="1"/>
  <c r="AE96" i="47"/>
  <c r="E504" i="63" s="1"/>
  <c r="AQ96" i="47"/>
  <c r="A504" i="63"/>
  <c r="B438" i="61"/>
  <c r="T119" i="47"/>
  <c r="F251" i="63" s="1"/>
  <c r="Q119" i="47"/>
  <c r="S119" i="47"/>
  <c r="E251" i="63" s="1"/>
  <c r="A251" i="63"/>
  <c r="AO119" i="47"/>
  <c r="B259" i="61"/>
  <c r="Z74" i="47"/>
  <c r="F344" i="63" s="1"/>
  <c r="A344" i="63"/>
  <c r="W74" i="47"/>
  <c r="Y74" i="47"/>
  <c r="E344" i="63" s="1"/>
  <c r="AP74" i="47"/>
  <c r="T128" i="47"/>
  <c r="F260" i="63" s="1"/>
  <c r="Q128" i="47"/>
  <c r="B474" i="61"/>
  <c r="S128" i="47"/>
  <c r="E260" i="63" s="1"/>
  <c r="A260" i="63"/>
  <c r="AO128" i="47"/>
  <c r="AO102" i="47"/>
  <c r="A234" i="63"/>
  <c r="T102" i="47"/>
  <c r="F234" i="63" s="1"/>
  <c r="B370" i="61"/>
  <c r="Q102" i="47"/>
  <c r="S102" i="47"/>
  <c r="E234" i="63" s="1"/>
  <c r="AD83" i="47"/>
  <c r="AB83" i="47"/>
  <c r="A491" i="63"/>
  <c r="AC83" i="47"/>
  <c r="AF83" i="47"/>
  <c r="F491" i="63" s="1"/>
  <c r="AQ83" i="47"/>
  <c r="AE83" i="47"/>
  <c r="E491" i="63" s="1"/>
  <c r="B296" i="61"/>
  <c r="AO74" i="47"/>
  <c r="A206" i="63"/>
  <c r="B258" i="61"/>
  <c r="S74" i="47"/>
  <c r="E206" i="63" s="1"/>
  <c r="Q74" i="47"/>
  <c r="T74" i="47"/>
  <c r="F206" i="63" s="1"/>
  <c r="AE148" i="47"/>
  <c r="E556" i="63" s="1"/>
  <c r="AB148" i="47"/>
  <c r="B556" i="63" s="1"/>
  <c r="AQ148" i="47"/>
  <c r="AF148" i="47"/>
  <c r="F556" i="63" s="1"/>
  <c r="AD148" i="47"/>
  <c r="D556" i="63" s="1"/>
  <c r="AC148" i="47"/>
  <c r="C556" i="63" s="1"/>
  <c r="A556" i="63"/>
  <c r="Y99" i="47"/>
  <c r="E369" i="63" s="1"/>
  <c r="A369" i="63"/>
  <c r="W99" i="47"/>
  <c r="Z99" i="47"/>
  <c r="F369" i="63" s="1"/>
  <c r="AP99" i="47"/>
  <c r="B359" i="61"/>
  <c r="Y141" i="47"/>
  <c r="E411" i="63" s="1"/>
  <c r="AP141" i="47"/>
  <c r="W141" i="47"/>
  <c r="C411" i="63" s="1"/>
  <c r="A411" i="63"/>
  <c r="Z141" i="47"/>
  <c r="F411" i="63" s="1"/>
  <c r="Y106" i="47"/>
  <c r="E376" i="63" s="1"/>
  <c r="B387" i="61"/>
  <c r="W106" i="47"/>
  <c r="A376" i="63"/>
  <c r="Z106" i="47"/>
  <c r="F376" i="63" s="1"/>
  <c r="AP106" i="47"/>
  <c r="AO37" i="47"/>
  <c r="S37" i="47"/>
  <c r="E169" i="63" s="1"/>
  <c r="B110" i="61"/>
  <c r="T37" i="47"/>
  <c r="F169" i="63" s="1"/>
  <c r="Q37" i="47"/>
  <c r="A169" i="63"/>
  <c r="AN82" i="47"/>
  <c r="N82" i="47"/>
  <c r="F76" i="63" s="1"/>
  <c r="B289" i="61"/>
  <c r="M82" i="47"/>
  <c r="K82" i="47"/>
  <c r="A76" i="63"/>
  <c r="A241" i="63"/>
  <c r="Q109" i="47"/>
  <c r="AO109" i="47"/>
  <c r="T109" i="47"/>
  <c r="F241" i="63" s="1"/>
  <c r="B398" i="61"/>
  <c r="S109" i="47"/>
  <c r="E241" i="63" s="1"/>
  <c r="B419" i="61"/>
  <c r="W114" i="47"/>
  <c r="Z114" i="47"/>
  <c r="F384" i="63" s="1"/>
  <c r="Y114" i="47"/>
  <c r="E384" i="63" s="1"/>
  <c r="AP114" i="47"/>
  <c r="A384" i="63"/>
  <c r="K42" i="47"/>
  <c r="M42" i="47"/>
  <c r="AN42" i="47"/>
  <c r="A36" i="63"/>
  <c r="N42" i="47"/>
  <c r="F36" i="63" s="1"/>
  <c r="B129" i="61"/>
  <c r="B103" i="61"/>
  <c r="AP35" i="47"/>
  <c r="Z35" i="47"/>
  <c r="F305" i="63" s="1"/>
  <c r="W35" i="47"/>
  <c r="Y35" i="47"/>
  <c r="E305" i="63" s="1"/>
  <c r="A305" i="63"/>
  <c r="A298" i="63"/>
  <c r="W28" i="47"/>
  <c r="Y28" i="47"/>
  <c r="E298" i="63" s="1"/>
  <c r="AP28" i="47"/>
  <c r="Z28" i="47"/>
  <c r="F298" i="63" s="1"/>
  <c r="B75" i="61"/>
  <c r="AB72" i="47"/>
  <c r="AF72" i="47"/>
  <c r="F480" i="63" s="1"/>
  <c r="A480" i="63"/>
  <c r="AQ72" i="47"/>
  <c r="AE72" i="47"/>
  <c r="E480" i="63" s="1"/>
  <c r="B252" i="61"/>
  <c r="AD72" i="47"/>
  <c r="AC72" i="47"/>
  <c r="B37" i="61"/>
  <c r="K19" i="47"/>
  <c r="M19" i="47"/>
  <c r="N19" i="47"/>
  <c r="F13" i="63" s="1"/>
  <c r="AN19" i="47"/>
  <c r="A13" i="63"/>
  <c r="A406" i="63"/>
  <c r="AP136" i="47"/>
  <c r="Y136" i="47"/>
  <c r="E406" i="63" s="1"/>
  <c r="Z136" i="47"/>
  <c r="F406" i="63" s="1"/>
  <c r="B507" i="61"/>
  <c r="W136" i="47"/>
  <c r="B356" i="61"/>
  <c r="AD98" i="47"/>
  <c r="AB98" i="47"/>
  <c r="AF98" i="47"/>
  <c r="F506" i="63" s="1"/>
  <c r="AC98" i="47"/>
  <c r="AE98" i="47"/>
  <c r="E506" i="63" s="1"/>
  <c r="AQ98" i="47"/>
  <c r="A506" i="63"/>
  <c r="AO20" i="47"/>
  <c r="T20" i="47"/>
  <c r="F152" i="63" s="1"/>
  <c r="A152" i="63"/>
  <c r="B42" i="61"/>
  <c r="Q20" i="47"/>
  <c r="S20" i="47"/>
  <c r="E152" i="63" s="1"/>
  <c r="A327" i="63"/>
  <c r="W57" i="47"/>
  <c r="AP57" i="47"/>
  <c r="B191" i="61"/>
  <c r="Y57" i="47"/>
  <c r="E327" i="63" s="1"/>
  <c r="Z57" i="47"/>
  <c r="F327" i="63" s="1"/>
  <c r="W54" i="47"/>
  <c r="A324" i="63"/>
  <c r="AP54" i="47"/>
  <c r="B179" i="61"/>
  <c r="Z54" i="47"/>
  <c r="F324" i="63" s="1"/>
  <c r="Y54" i="47"/>
  <c r="E324" i="63" s="1"/>
  <c r="B31" i="61"/>
  <c r="Y17" i="47"/>
  <c r="E287" i="63" s="1"/>
  <c r="W17" i="47"/>
  <c r="AP17" i="47"/>
  <c r="A287" i="63"/>
  <c r="Z17" i="47"/>
  <c r="F287" i="63" s="1"/>
  <c r="B16" i="61"/>
  <c r="AB13" i="47"/>
  <c r="AQ13" i="47"/>
  <c r="A421" i="63"/>
  <c r="AE13" i="47"/>
  <c r="E421" i="63" s="1"/>
  <c r="AC13" i="47"/>
  <c r="AD13" i="47"/>
  <c r="AF13" i="47"/>
  <c r="F421" i="63" s="1"/>
  <c r="Q55" i="47"/>
  <c r="A187" i="63"/>
  <c r="B182" i="61"/>
  <c r="AO55" i="47"/>
  <c r="S55" i="47"/>
  <c r="E187" i="63" s="1"/>
  <c r="T55" i="47"/>
  <c r="F187" i="63" s="1"/>
  <c r="A88" i="63"/>
  <c r="M94" i="47"/>
  <c r="K94" i="47"/>
  <c r="B337" i="61"/>
  <c r="AN94" i="47"/>
  <c r="N94" i="47"/>
  <c r="F88" i="63" s="1"/>
  <c r="AB94" i="47"/>
  <c r="B340" i="61"/>
  <c r="AE94" i="47"/>
  <c r="E502" i="63" s="1"/>
  <c r="AQ94" i="47"/>
  <c r="AF94" i="47"/>
  <c r="F502" i="63" s="1"/>
  <c r="AC94" i="47"/>
  <c r="A502" i="63"/>
  <c r="AD94" i="47"/>
  <c r="A346" i="63"/>
  <c r="AP76" i="47"/>
  <c r="Z76" i="47"/>
  <c r="F346" i="63" s="1"/>
  <c r="B267" i="61"/>
  <c r="W76" i="47"/>
  <c r="Y76" i="47"/>
  <c r="E346" i="63" s="1"/>
  <c r="AE95" i="47"/>
  <c r="E503" i="63" s="1"/>
  <c r="AF95" i="47"/>
  <c r="F503" i="63" s="1"/>
  <c r="B344" i="61"/>
  <c r="A503" i="63"/>
  <c r="AD95" i="47"/>
  <c r="AB95" i="47"/>
  <c r="AC95" i="47"/>
  <c r="AQ95" i="47"/>
  <c r="AP25" i="47"/>
  <c r="Z25" i="47"/>
  <c r="F295" i="63" s="1"/>
  <c r="A295" i="63"/>
  <c r="B63" i="61"/>
  <c r="W25" i="47"/>
  <c r="Y25" i="47"/>
  <c r="E295" i="63" s="1"/>
  <c r="K27" i="47"/>
  <c r="M27" i="47"/>
  <c r="N27" i="47"/>
  <c r="F21" i="63" s="1"/>
  <c r="A21" i="63"/>
  <c r="AN27" i="47"/>
  <c r="B69" i="61"/>
  <c r="B125" i="61"/>
  <c r="AN41" i="47"/>
  <c r="A35" i="63"/>
  <c r="N41" i="47"/>
  <c r="F35" i="63" s="1"/>
  <c r="K41" i="47"/>
  <c r="M41" i="47"/>
  <c r="AD116" i="47"/>
  <c r="B428" i="61"/>
  <c r="AB116" i="47"/>
  <c r="AF116" i="47"/>
  <c r="F524" i="63" s="1"/>
  <c r="AE116" i="47"/>
  <c r="E524" i="63" s="1"/>
  <c r="AQ116" i="47"/>
  <c r="AC116" i="47"/>
  <c r="A524" i="63"/>
  <c r="AE69" i="47"/>
  <c r="E477" i="63" s="1"/>
  <c r="A477" i="63"/>
  <c r="AB69" i="47"/>
  <c r="B240" i="61"/>
  <c r="AF69" i="47"/>
  <c r="F477" i="63" s="1"/>
  <c r="AQ69" i="47"/>
  <c r="AC69" i="47"/>
  <c r="AD69" i="47"/>
  <c r="AO99" i="47"/>
  <c r="B358" i="61"/>
  <c r="S99" i="47"/>
  <c r="E231" i="63" s="1"/>
  <c r="T99" i="47"/>
  <c r="F231" i="63" s="1"/>
  <c r="A231" i="63"/>
  <c r="Q99" i="47"/>
  <c r="B441" i="61"/>
  <c r="A114" i="63"/>
  <c r="K120" i="47"/>
  <c r="M120" i="47"/>
  <c r="AN120" i="47"/>
  <c r="N120" i="47"/>
  <c r="F114" i="63" s="1"/>
  <c r="AB78" i="47"/>
  <c r="AQ78" i="47"/>
  <c r="AC78" i="47"/>
  <c r="B276" i="61"/>
  <c r="AD78" i="47"/>
  <c r="A486" i="63"/>
  <c r="AE78" i="47"/>
  <c r="E486" i="63" s="1"/>
  <c r="AF78" i="47"/>
  <c r="F486" i="63" s="1"/>
  <c r="T76" i="47"/>
  <c r="F208" i="63" s="1"/>
  <c r="B266" i="61"/>
  <c r="S76" i="47"/>
  <c r="E208" i="63" s="1"/>
  <c r="Q76" i="47"/>
  <c r="AO76" i="47"/>
  <c r="A208" i="63"/>
  <c r="T116" i="47"/>
  <c r="F248" i="63" s="1"/>
  <c r="S116" i="47"/>
  <c r="E248" i="63" s="1"/>
  <c r="AO116" i="47"/>
  <c r="Q116" i="47"/>
  <c r="A248" i="63"/>
  <c r="B426" i="61"/>
  <c r="S71" i="47"/>
  <c r="E203" i="63" s="1"/>
  <c r="A203" i="63"/>
  <c r="B246" i="61"/>
  <c r="T71" i="47"/>
  <c r="F203" i="63" s="1"/>
  <c r="AO71" i="47"/>
  <c r="Q71" i="47"/>
  <c r="AQ93" i="47"/>
  <c r="B336" i="61"/>
  <c r="A501" i="63"/>
  <c r="AE93" i="47"/>
  <c r="E501" i="63" s="1"/>
  <c r="AD93" i="47"/>
  <c r="AB93" i="47"/>
  <c r="AC93" i="47"/>
  <c r="AF93" i="47"/>
  <c r="F501" i="63" s="1"/>
  <c r="T101" i="47"/>
  <c r="F233" i="63" s="1"/>
  <c r="B366" i="61"/>
  <c r="Q101" i="47"/>
  <c r="A233" i="63"/>
  <c r="AO101" i="47"/>
  <c r="S101" i="47"/>
  <c r="E233" i="63" s="1"/>
  <c r="A374" i="63"/>
  <c r="B379" i="61"/>
  <c r="Z104" i="47"/>
  <c r="F374" i="63" s="1"/>
  <c r="W104" i="47"/>
  <c r="AP104" i="47"/>
  <c r="Y104" i="47"/>
  <c r="E374" i="63" s="1"/>
  <c r="Z62" i="47"/>
  <c r="F332" i="63" s="1"/>
  <c r="AP62" i="47"/>
  <c r="A332" i="63"/>
  <c r="W62" i="47"/>
  <c r="B211" i="61"/>
  <c r="Y62" i="47"/>
  <c r="E332" i="63" s="1"/>
  <c r="AF25" i="47"/>
  <c r="F433" i="63" s="1"/>
  <c r="AE25" i="47"/>
  <c r="E433" i="63" s="1"/>
  <c r="AQ25" i="47"/>
  <c r="AB25" i="47"/>
  <c r="AD25" i="47"/>
  <c r="A433" i="63"/>
  <c r="AC25" i="47"/>
  <c r="B64" i="61"/>
  <c r="B247" i="61"/>
  <c r="Y71" i="47"/>
  <c r="E341" i="63" s="1"/>
  <c r="W71" i="47"/>
  <c r="A341" i="63"/>
  <c r="AP71" i="47"/>
  <c r="Z71" i="47"/>
  <c r="F341" i="63" s="1"/>
  <c r="Z101" i="47"/>
  <c r="F371" i="63" s="1"/>
  <c r="Y101" i="47"/>
  <c r="E371" i="63" s="1"/>
  <c r="W101" i="47"/>
  <c r="A371" i="63"/>
  <c r="B367" i="61"/>
  <c r="AP101" i="47"/>
  <c r="AP12" i="47"/>
  <c r="Y12" i="47"/>
  <c r="E282" i="63" s="1"/>
  <c r="B11" i="61"/>
  <c r="Z12" i="47"/>
  <c r="F282" i="63" s="1"/>
  <c r="A282" i="63"/>
  <c r="W12" i="47"/>
  <c r="B73" i="61"/>
  <c r="N28" i="47"/>
  <c r="F22" i="63" s="1"/>
  <c r="M28" i="47"/>
  <c r="A22" i="63"/>
  <c r="AN28" i="47"/>
  <c r="K28" i="47"/>
  <c r="AN48" i="47"/>
  <c r="A42" i="63"/>
  <c r="N48" i="47"/>
  <c r="F42" i="63" s="1"/>
  <c r="K48" i="47"/>
  <c r="M48" i="47"/>
  <c r="B153" i="61"/>
  <c r="T121" i="47"/>
  <c r="F253" i="63" s="1"/>
  <c r="A253" i="63"/>
  <c r="B446" i="61"/>
  <c r="S121" i="47"/>
  <c r="E253" i="63" s="1"/>
  <c r="AO121" i="47"/>
  <c r="Q121" i="47"/>
  <c r="B112" i="61"/>
  <c r="AE37" i="47"/>
  <c r="E445" i="63" s="1"/>
  <c r="AB37" i="47"/>
  <c r="A445" i="63"/>
  <c r="AQ37" i="47"/>
  <c r="AF37" i="47"/>
  <c r="F445" i="63" s="1"/>
  <c r="AC37" i="47"/>
  <c r="AD37" i="47"/>
  <c r="Z43" i="47"/>
  <c r="F313" i="63" s="1"/>
  <c r="AP43" i="47"/>
  <c r="B135" i="61"/>
  <c r="A313" i="63"/>
  <c r="W43" i="47"/>
  <c r="Y43" i="47"/>
  <c r="E313" i="63" s="1"/>
  <c r="AE139" i="47"/>
  <c r="E547" i="63" s="1"/>
  <c r="AF139" i="47"/>
  <c r="F547" i="63" s="1"/>
  <c r="A547" i="63"/>
  <c r="AC139" i="47"/>
  <c r="C547" i="63" s="1"/>
  <c r="AB139" i="47"/>
  <c r="B547" i="63" s="1"/>
  <c r="AD139" i="47"/>
  <c r="D547" i="63" s="1"/>
  <c r="AQ139" i="47"/>
  <c r="Y115" i="47"/>
  <c r="E385" i="63" s="1"/>
  <c r="W115" i="47"/>
  <c r="B423" i="61"/>
  <c r="AP115" i="47"/>
  <c r="Z115" i="47"/>
  <c r="F385" i="63" s="1"/>
  <c r="A385" i="63"/>
  <c r="N12" i="47"/>
  <c r="F6" i="63" s="1"/>
  <c r="M12" i="47"/>
  <c r="K12" i="47"/>
  <c r="B9" i="61"/>
  <c r="A6" i="63"/>
  <c r="AN12" i="47"/>
  <c r="A418" i="63"/>
  <c r="Y148" i="47"/>
  <c r="E418" i="63" s="1"/>
  <c r="AP148" i="47"/>
  <c r="W148" i="47"/>
  <c r="C418" i="63" s="1"/>
  <c r="Z148" i="47"/>
  <c r="F418" i="63" s="1"/>
  <c r="W135" i="47"/>
  <c r="Y135" i="47"/>
  <c r="E405" i="63" s="1"/>
  <c r="B503" i="61"/>
  <c r="A405" i="63"/>
  <c r="AP135" i="47"/>
  <c r="Z135" i="47"/>
  <c r="F405" i="63" s="1"/>
  <c r="B313" i="61"/>
  <c r="AN88" i="47"/>
  <c r="N88" i="47"/>
  <c r="F82" i="63" s="1"/>
  <c r="M88" i="47"/>
  <c r="A82" i="63"/>
  <c r="K88" i="47"/>
  <c r="S104" i="47"/>
  <c r="E236" i="63" s="1"/>
  <c r="Q104" i="47"/>
  <c r="T104" i="47"/>
  <c r="F236" i="63" s="1"/>
  <c r="AO104" i="47"/>
  <c r="B378" i="61"/>
  <c r="A236" i="63"/>
  <c r="S69" i="47"/>
  <c r="E201" i="63" s="1"/>
  <c r="B238" i="61"/>
  <c r="AO69" i="47"/>
  <c r="Q69" i="47"/>
  <c r="A201" i="63"/>
  <c r="T69" i="47"/>
  <c r="F201" i="63" s="1"/>
  <c r="AO124" i="47"/>
  <c r="Q124" i="47"/>
  <c r="B458" i="61"/>
  <c r="S124" i="47"/>
  <c r="E256" i="63" s="1"/>
  <c r="A256" i="63"/>
  <c r="T124" i="47"/>
  <c r="F256" i="63" s="1"/>
  <c r="N105" i="47"/>
  <c r="F99" i="63" s="1"/>
  <c r="K105" i="47"/>
  <c r="M105" i="47"/>
  <c r="A99" i="63"/>
  <c r="AN105" i="47"/>
  <c r="B381" i="61"/>
  <c r="A333" i="63"/>
  <c r="W63" i="47"/>
  <c r="Y63" i="47"/>
  <c r="E333" i="63" s="1"/>
  <c r="B215" i="61"/>
  <c r="AP63" i="47"/>
  <c r="Z63" i="47"/>
  <c r="F333" i="63" s="1"/>
  <c r="AO78" i="47"/>
  <c r="S78" i="47"/>
  <c r="E210" i="63" s="1"/>
  <c r="Q78" i="47"/>
  <c r="A210" i="63"/>
  <c r="B274" i="61"/>
  <c r="T78" i="47"/>
  <c r="F210" i="63" s="1"/>
  <c r="Q132" i="47"/>
  <c r="T132" i="47"/>
  <c r="F264" i="63" s="1"/>
  <c r="B490" i="61"/>
  <c r="A264" i="63"/>
  <c r="S132" i="47"/>
  <c r="E264" i="63" s="1"/>
  <c r="AO132" i="47"/>
  <c r="AN61" i="47"/>
  <c r="N61" i="47"/>
  <c r="F55" i="63" s="1"/>
  <c r="A55" i="63"/>
  <c r="M61" i="47"/>
  <c r="B205" i="61"/>
  <c r="K61" i="47"/>
  <c r="B22" i="61"/>
  <c r="S15" i="47"/>
  <c r="E147" i="63" s="1"/>
  <c r="AO15" i="47"/>
  <c r="A147" i="63"/>
  <c r="Q15" i="47"/>
  <c r="T15" i="47"/>
  <c r="F147" i="63" s="1"/>
  <c r="B39" i="61"/>
  <c r="W19" i="47"/>
  <c r="A289" i="63"/>
  <c r="Y19" i="47"/>
  <c r="E289" i="63" s="1"/>
  <c r="Z19" i="47"/>
  <c r="F289" i="63" s="1"/>
  <c r="AP19" i="47"/>
  <c r="M90" i="47"/>
  <c r="N90" i="47"/>
  <c r="F84" i="63" s="1"/>
  <c r="AN90" i="47"/>
  <c r="A84" i="63"/>
  <c r="B321" i="61"/>
  <c r="K90" i="47"/>
  <c r="T39" i="47"/>
  <c r="F171" i="63" s="1"/>
  <c r="A171" i="63"/>
  <c r="B118" i="61"/>
  <c r="AO39" i="47"/>
  <c r="Q39" i="47"/>
  <c r="S39" i="47"/>
  <c r="E171" i="63" s="1"/>
  <c r="N133" i="47"/>
  <c r="F127" i="63" s="1"/>
  <c r="K133" i="47"/>
  <c r="B493" i="61"/>
  <c r="M133" i="47"/>
  <c r="A127" i="63"/>
  <c r="AN133" i="47"/>
  <c r="M69" i="47"/>
  <c r="N69" i="47"/>
  <c r="F63" i="63" s="1"/>
  <c r="K69" i="47"/>
  <c r="A63" i="63"/>
  <c r="AN69" i="47"/>
  <c r="B237" i="61"/>
  <c r="Z143" i="47"/>
  <c r="F413" i="63" s="1"/>
  <c r="W143" i="47"/>
  <c r="C413" i="63" s="1"/>
  <c r="Y143" i="47"/>
  <c r="E413" i="63" s="1"/>
  <c r="A413" i="63"/>
  <c r="AP143" i="47"/>
  <c r="N59" i="47"/>
  <c r="F53" i="63" s="1"/>
  <c r="M59" i="47"/>
  <c r="K59" i="47"/>
  <c r="AN59" i="47"/>
  <c r="B197" i="61"/>
  <c r="A53" i="63"/>
  <c r="S17" i="47"/>
  <c r="E149" i="63" s="1"/>
  <c r="A149" i="63"/>
  <c r="T17" i="47"/>
  <c r="F149" i="63" s="1"/>
  <c r="Q17" i="47"/>
  <c r="AO17" i="47"/>
  <c r="B30" i="61"/>
  <c r="Y50" i="47"/>
  <c r="E320" i="63" s="1"/>
  <c r="W50" i="47"/>
  <c r="AP50" i="47"/>
  <c r="A320" i="63"/>
  <c r="Z50" i="47"/>
  <c r="F320" i="63" s="1"/>
  <c r="B163" i="61"/>
  <c r="AF71" i="47"/>
  <c r="F479" i="63" s="1"/>
  <c r="AQ71" i="47"/>
  <c r="AD71" i="47"/>
  <c r="B248" i="61"/>
  <c r="AC71" i="47"/>
  <c r="A479" i="63"/>
  <c r="AE71" i="47"/>
  <c r="E479" i="63" s="1"/>
  <c r="AB71" i="47"/>
  <c r="M117" i="47"/>
  <c r="AN117" i="47"/>
  <c r="B429" i="61"/>
  <c r="A111" i="63"/>
  <c r="N117" i="47"/>
  <c r="F111" i="63" s="1"/>
  <c r="K117" i="47"/>
  <c r="Y131" i="47"/>
  <c r="E401" i="63" s="1"/>
  <c r="Z131" i="47"/>
  <c r="F401" i="63" s="1"/>
  <c r="A401" i="63"/>
  <c r="W131" i="47"/>
  <c r="B487" i="61"/>
  <c r="AP131" i="47"/>
  <c r="AN132" i="47"/>
  <c r="B489" i="61"/>
  <c r="M132" i="47"/>
  <c r="A126" i="63"/>
  <c r="K132" i="47"/>
  <c r="N132" i="47"/>
  <c r="F126" i="63" s="1"/>
  <c r="Y61" i="47"/>
  <c r="E331" i="63" s="1"/>
  <c r="W61" i="47"/>
  <c r="Z61" i="47"/>
  <c r="F331" i="63" s="1"/>
  <c r="AP61" i="47"/>
  <c r="B207" i="61"/>
  <c r="A331" i="63"/>
  <c r="B312" i="61"/>
  <c r="AC87" i="47"/>
  <c r="AF87" i="47"/>
  <c r="F495" i="63" s="1"/>
  <c r="AD87" i="47"/>
  <c r="AQ87" i="47"/>
  <c r="AB87" i="47"/>
  <c r="A495" i="63"/>
  <c r="AE87" i="47"/>
  <c r="E495" i="63" s="1"/>
  <c r="A50" i="63"/>
  <c r="B185" i="61"/>
  <c r="K56" i="47"/>
  <c r="N56" i="47"/>
  <c r="F50" i="63" s="1"/>
  <c r="AN56" i="47"/>
  <c r="M56" i="47"/>
  <c r="A86" i="63"/>
  <c r="M92" i="47"/>
  <c r="K92" i="47"/>
  <c r="AN92" i="47"/>
  <c r="B329" i="61"/>
  <c r="N92" i="47"/>
  <c r="F86" i="63" s="1"/>
  <c r="A353" i="63"/>
  <c r="AP83" i="47"/>
  <c r="Y83" i="47"/>
  <c r="E353" i="63" s="1"/>
  <c r="W83" i="47"/>
  <c r="Z83" i="47"/>
  <c r="F353" i="63" s="1"/>
  <c r="B295" i="61"/>
  <c r="K57" i="47"/>
  <c r="AN57" i="47"/>
  <c r="B189" i="61"/>
  <c r="M57" i="47"/>
  <c r="N57" i="47"/>
  <c r="F51" i="63" s="1"/>
  <c r="A51" i="63"/>
  <c r="A307" i="63"/>
  <c r="W37" i="47"/>
  <c r="Y37" i="47"/>
  <c r="E307" i="63" s="1"/>
  <c r="Z37" i="47"/>
  <c r="F307" i="63" s="1"/>
  <c r="AP37" i="47"/>
  <c r="B111" i="61"/>
  <c r="Q146" i="47"/>
  <c r="C278" i="63" s="1"/>
  <c r="A278" i="63"/>
  <c r="T146" i="47"/>
  <c r="F278" i="63" s="1"/>
  <c r="AO146" i="47"/>
  <c r="S146" i="47"/>
  <c r="E278" i="63" s="1"/>
  <c r="AP110" i="47"/>
  <c r="B403" i="61"/>
  <c r="Z110" i="47"/>
  <c r="F380" i="63" s="1"/>
  <c r="A380" i="63"/>
  <c r="Y110" i="47"/>
  <c r="E380" i="63" s="1"/>
  <c r="W110" i="47"/>
  <c r="AF51" i="47"/>
  <c r="F459" i="63" s="1"/>
  <c r="AE51" i="47"/>
  <c r="E459" i="63" s="1"/>
  <c r="AC51" i="47"/>
  <c r="AB51" i="47"/>
  <c r="B168" i="61"/>
  <c r="AQ51" i="47"/>
  <c r="A459" i="63"/>
  <c r="AD51" i="47"/>
  <c r="K13" i="47"/>
  <c r="M13" i="47"/>
  <c r="B13" i="61"/>
  <c r="AN13" i="47"/>
  <c r="N13" i="47"/>
  <c r="F7" i="63" s="1"/>
  <c r="A7" i="63"/>
  <c r="AF89" i="47"/>
  <c r="F497" i="63" s="1"/>
  <c r="AQ89" i="47"/>
  <c r="AE89" i="47"/>
  <c r="E497" i="63" s="1"/>
  <c r="AB89" i="47"/>
  <c r="A497" i="63"/>
  <c r="AC89" i="47"/>
  <c r="AD89" i="47"/>
  <c r="B320" i="61"/>
  <c r="A117" i="63"/>
  <c r="N123" i="47"/>
  <c r="F117" i="63" s="1"/>
  <c r="M123" i="47"/>
  <c r="B453" i="61"/>
  <c r="AN123" i="47"/>
  <c r="K123" i="47"/>
  <c r="A308" i="63"/>
  <c r="AP38" i="47"/>
  <c r="W38" i="47"/>
  <c r="Y38" i="47"/>
  <c r="E308" i="63" s="1"/>
  <c r="Z38" i="47"/>
  <c r="F308" i="63" s="1"/>
  <c r="B115" i="61"/>
  <c r="B384" i="61"/>
  <c r="AB105" i="47"/>
  <c r="AQ105" i="47"/>
  <c r="A513" i="63"/>
  <c r="AD105" i="47"/>
  <c r="AC105" i="47"/>
  <c r="AF105" i="47"/>
  <c r="F513" i="63" s="1"/>
  <c r="AE105" i="47"/>
  <c r="E513" i="63" s="1"/>
  <c r="AB117" i="47"/>
  <c r="AQ117" i="47"/>
  <c r="A525" i="63"/>
  <c r="AC117" i="47"/>
  <c r="B432" i="61"/>
  <c r="AE117" i="47"/>
  <c r="E525" i="63" s="1"/>
  <c r="AD117" i="47"/>
  <c r="AF117" i="47"/>
  <c r="F525" i="63" s="1"/>
  <c r="AF114" i="47"/>
  <c r="F522" i="63" s="1"/>
  <c r="B420" i="61"/>
  <c r="AB114" i="47"/>
  <c r="AE114" i="47"/>
  <c r="E522" i="63" s="1"/>
  <c r="AC114" i="47"/>
  <c r="AQ114" i="47"/>
  <c r="A522" i="63"/>
  <c r="AD114" i="47"/>
  <c r="S34" i="47"/>
  <c r="E166" i="63" s="1"/>
  <c r="B98" i="61"/>
  <c r="Q34" i="47"/>
  <c r="AO34" i="47"/>
  <c r="T34" i="47"/>
  <c r="F166" i="63" s="1"/>
  <c r="A166" i="63"/>
  <c r="M66" i="47"/>
  <c r="A60" i="63"/>
  <c r="B225" i="61"/>
  <c r="AN66" i="47"/>
  <c r="N66" i="47"/>
  <c r="F60" i="63" s="1"/>
  <c r="K66" i="47"/>
  <c r="B188" i="61"/>
  <c r="AF56" i="47"/>
  <c r="F464" i="63" s="1"/>
  <c r="A464" i="63"/>
  <c r="AB56" i="47"/>
  <c r="AQ56" i="47"/>
  <c r="AE56" i="47"/>
  <c r="E464" i="63" s="1"/>
  <c r="AD56" i="47"/>
  <c r="AC56" i="47"/>
  <c r="Z60" i="47"/>
  <c r="F330" i="63" s="1"/>
  <c r="W60" i="47"/>
  <c r="AP60" i="47"/>
  <c r="A330" i="63"/>
  <c r="Y60" i="47"/>
  <c r="E330" i="63" s="1"/>
  <c r="B203" i="61"/>
  <c r="M121" i="47"/>
  <c r="A115" i="63"/>
  <c r="N121" i="47"/>
  <c r="F115" i="63" s="1"/>
  <c r="K121" i="47"/>
  <c r="AN121" i="47"/>
  <c r="B445" i="61"/>
  <c r="T50" i="47"/>
  <c r="F182" i="63" s="1"/>
  <c r="B162" i="61"/>
  <c r="Q50" i="47"/>
  <c r="A182" i="63"/>
  <c r="S50" i="47"/>
  <c r="E182" i="63" s="1"/>
  <c r="AO50" i="47"/>
  <c r="K111" i="47"/>
  <c r="B405" i="61"/>
  <c r="A105" i="63"/>
  <c r="M111" i="47"/>
  <c r="N111" i="47"/>
  <c r="F105" i="63" s="1"/>
  <c r="AN111" i="47"/>
  <c r="AQ140" i="47"/>
  <c r="A548" i="63"/>
  <c r="AB140" i="47"/>
  <c r="B548" i="63" s="1"/>
  <c r="AF140" i="47"/>
  <c r="F548" i="63" s="1"/>
  <c r="AC140" i="47"/>
  <c r="C548" i="63" s="1"/>
  <c r="AD140" i="47"/>
  <c r="D548" i="63" s="1"/>
  <c r="AE140" i="47"/>
  <c r="E548" i="63" s="1"/>
  <c r="Y51" i="47"/>
  <c r="E321" i="63" s="1"/>
  <c r="A321" i="63"/>
  <c r="W51" i="47"/>
  <c r="AP51" i="47"/>
  <c r="Z51" i="47"/>
  <c r="F321" i="63" s="1"/>
  <c r="B167" i="61"/>
  <c r="AN100" i="47"/>
  <c r="M100" i="47"/>
  <c r="N100" i="47"/>
  <c r="F94" i="63" s="1"/>
  <c r="B361" i="61"/>
  <c r="K100" i="47"/>
  <c r="A94" i="63"/>
  <c r="K17" i="47"/>
  <c r="A11" i="63"/>
  <c r="N17" i="47"/>
  <c r="F11" i="63" s="1"/>
  <c r="B29" i="61"/>
  <c r="AN17" i="47"/>
  <c r="M17" i="47"/>
  <c r="Y119" i="47"/>
  <c r="E389" i="63" s="1"/>
  <c r="AP119" i="47"/>
  <c r="Z119" i="47"/>
  <c r="F389" i="63" s="1"/>
  <c r="A389" i="63"/>
  <c r="B439" i="61"/>
  <c r="W119" i="47"/>
  <c r="W142" i="47"/>
  <c r="C412" i="63" s="1"/>
  <c r="A412" i="63"/>
  <c r="AP142" i="47"/>
  <c r="Y142" i="47"/>
  <c r="E412" i="63" s="1"/>
  <c r="Z142" i="47"/>
  <c r="F412" i="63" s="1"/>
  <c r="AO90" i="47"/>
  <c r="B322" i="61"/>
  <c r="A222" i="63"/>
  <c r="S90" i="47"/>
  <c r="E222" i="63" s="1"/>
  <c r="T90" i="47"/>
  <c r="F222" i="63" s="1"/>
  <c r="Q90" i="47"/>
  <c r="AD111" i="47"/>
  <c r="AE111" i="47"/>
  <c r="E519" i="63" s="1"/>
  <c r="A519" i="63"/>
  <c r="B408" i="61"/>
  <c r="AC111" i="47"/>
  <c r="AF111" i="47"/>
  <c r="F519" i="63" s="1"/>
  <c r="AB111" i="47"/>
  <c r="AQ111" i="47"/>
  <c r="AO44" i="47"/>
  <c r="T44" i="47"/>
  <c r="F176" i="63" s="1"/>
  <c r="S44" i="47"/>
  <c r="E176" i="63" s="1"/>
  <c r="A176" i="63"/>
  <c r="Q44" i="47"/>
  <c r="B138" i="61"/>
  <c r="A12" i="63"/>
  <c r="N18" i="47"/>
  <c r="F12" i="63" s="1"/>
  <c r="B33" i="61"/>
  <c r="K18" i="47"/>
  <c r="M18" i="47"/>
  <c r="AN18" i="47"/>
  <c r="B372" i="61"/>
  <c r="AQ102" i="47"/>
  <c r="AB102" i="47"/>
  <c r="AC102" i="47"/>
  <c r="AF102" i="47"/>
  <c r="F510" i="63" s="1"/>
  <c r="AE102" i="47"/>
  <c r="E510" i="63" s="1"/>
  <c r="AD102" i="47"/>
  <c r="A510" i="63"/>
  <c r="Q40" i="47"/>
  <c r="T40" i="47"/>
  <c r="F172" i="63" s="1"/>
  <c r="A172" i="63"/>
  <c r="S40" i="47"/>
  <c r="E172" i="63" s="1"/>
  <c r="AO40" i="47"/>
  <c r="B122" i="61"/>
  <c r="Q138" i="47"/>
  <c r="T138" i="47"/>
  <c r="F270" i="63" s="1"/>
  <c r="A270" i="63"/>
  <c r="S138" i="47"/>
  <c r="E270" i="63" s="1"/>
  <c r="AO138" i="47"/>
  <c r="B514" i="61"/>
  <c r="AO27" i="47"/>
  <c r="S27" i="47"/>
  <c r="E159" i="63" s="1"/>
  <c r="A159" i="63"/>
  <c r="Q27" i="47"/>
  <c r="B70" i="61"/>
  <c r="T27" i="47"/>
  <c r="F159" i="63" s="1"/>
  <c r="AF48" i="47"/>
  <c r="F456" i="63" s="1"/>
  <c r="A456" i="63"/>
  <c r="B156" i="61"/>
  <c r="AQ48" i="47"/>
  <c r="AB48" i="47"/>
  <c r="AE48" i="47"/>
  <c r="E456" i="63" s="1"/>
  <c r="AC48" i="47"/>
  <c r="AD48" i="47"/>
  <c r="A148" i="63"/>
  <c r="T16" i="47"/>
  <c r="F148" i="63" s="1"/>
  <c r="S16" i="47"/>
  <c r="E148" i="63" s="1"/>
  <c r="Q16" i="47"/>
  <c r="AO16" i="47"/>
  <c r="B26" i="61"/>
  <c r="Y78" i="47"/>
  <c r="E348" i="63" s="1"/>
  <c r="A348" i="63"/>
  <c r="W78" i="47"/>
  <c r="B275" i="61"/>
  <c r="Z78" i="47"/>
  <c r="F348" i="63" s="1"/>
  <c r="AP78" i="47"/>
  <c r="N95" i="47"/>
  <c r="F89" i="63" s="1"/>
  <c r="A89" i="63"/>
  <c r="B341" i="61"/>
  <c r="M95" i="47"/>
  <c r="K95" i="47"/>
  <c r="AN95" i="47"/>
  <c r="AP73" i="47"/>
  <c r="B255" i="61"/>
  <c r="Y73" i="47"/>
  <c r="E343" i="63" s="1"/>
  <c r="W73" i="47"/>
  <c r="Z73" i="47"/>
  <c r="F343" i="63" s="1"/>
  <c r="A343" i="63"/>
  <c r="AO11" i="47"/>
  <c r="B6" i="61"/>
  <c r="S11" i="47"/>
  <c r="E143" i="63" s="1"/>
  <c r="T11" i="47"/>
  <c r="F143" i="63" s="1"/>
  <c r="A143" i="63"/>
  <c r="Q11" i="47"/>
  <c r="A354" i="63"/>
  <c r="W84" i="47"/>
  <c r="AP84" i="47"/>
  <c r="Y84" i="47"/>
  <c r="E354" i="63" s="1"/>
  <c r="Z84" i="47"/>
  <c r="F354" i="63" s="1"/>
  <c r="B299" i="61"/>
  <c r="B307" i="61"/>
  <c r="W86" i="47"/>
  <c r="Z86" i="47"/>
  <c r="F356" i="63" s="1"/>
  <c r="AP86" i="47"/>
  <c r="A356" i="63"/>
  <c r="Y86" i="47"/>
  <c r="E356" i="63" s="1"/>
  <c r="AO66" i="47"/>
  <c r="T66" i="47"/>
  <c r="F198" i="63" s="1"/>
  <c r="Q66" i="47"/>
  <c r="A198" i="63"/>
  <c r="S66" i="47"/>
  <c r="E198" i="63" s="1"/>
  <c r="B226" i="61"/>
  <c r="T72" i="47"/>
  <c r="F204" i="63" s="1"/>
  <c r="A204" i="63"/>
  <c r="B250" i="61"/>
  <c r="S72" i="47"/>
  <c r="E204" i="63" s="1"/>
  <c r="AO72" i="47"/>
  <c r="Q72" i="47"/>
  <c r="AB86" i="47"/>
  <c r="AQ86" i="47"/>
  <c r="B308" i="61"/>
  <c r="AC86" i="47"/>
  <c r="AF86" i="47"/>
  <c r="F494" i="63" s="1"/>
  <c r="AE86" i="47"/>
  <c r="E494" i="63" s="1"/>
  <c r="A494" i="63"/>
  <c r="AD86" i="47"/>
  <c r="A183" i="63"/>
  <c r="T51" i="47"/>
  <c r="F183" i="63" s="1"/>
  <c r="B166" i="61"/>
  <c r="S51" i="47"/>
  <c r="E183" i="63" s="1"/>
  <c r="Q51" i="47"/>
  <c r="AO51" i="47"/>
  <c r="AN134" i="47"/>
  <c r="N134" i="47"/>
  <c r="F128" i="63" s="1"/>
  <c r="A128" i="63"/>
  <c r="K134" i="47"/>
  <c r="M134" i="47"/>
  <c r="B497" i="61"/>
  <c r="K47" i="47"/>
  <c r="B149" i="61"/>
  <c r="M47" i="47"/>
  <c r="AN47" i="47"/>
  <c r="A41" i="63"/>
  <c r="N47" i="47"/>
  <c r="F41" i="63" s="1"/>
  <c r="T83" i="47"/>
  <c r="F215" i="63" s="1"/>
  <c r="B294" i="61"/>
  <c r="A215" i="63"/>
  <c r="AO83" i="47"/>
  <c r="S83" i="47"/>
  <c r="E215" i="63" s="1"/>
  <c r="Q83" i="47"/>
  <c r="A225" i="63"/>
  <c r="Q93" i="47"/>
  <c r="T93" i="47"/>
  <c r="F225" i="63" s="1"/>
  <c r="AO93" i="47"/>
  <c r="S93" i="47"/>
  <c r="E225" i="63" s="1"/>
  <c r="B334" i="61"/>
  <c r="AO108" i="47"/>
  <c r="Q108" i="47"/>
  <c r="S108" i="47"/>
  <c r="E240" i="63" s="1"/>
  <c r="B394" i="61"/>
  <c r="T108" i="47"/>
  <c r="F240" i="63" s="1"/>
  <c r="A240" i="63"/>
  <c r="Q133" i="47"/>
  <c r="B494" i="61"/>
  <c r="AO133" i="47"/>
  <c r="S133" i="47"/>
  <c r="E265" i="63" s="1"/>
  <c r="T133" i="47"/>
  <c r="F265" i="63" s="1"/>
  <c r="A265" i="63"/>
  <c r="AE14" i="47"/>
  <c r="E422" i="63" s="1"/>
  <c r="A422" i="63"/>
  <c r="AB14" i="47"/>
  <c r="B20" i="61"/>
  <c r="AD14" i="47"/>
  <c r="AF14" i="47"/>
  <c r="F422" i="63" s="1"/>
  <c r="AC14" i="47"/>
  <c r="AQ14" i="47"/>
  <c r="N38" i="47"/>
  <c r="F32" i="63" s="1"/>
  <c r="A32" i="63"/>
  <c r="B113" i="61"/>
  <c r="M38" i="47"/>
  <c r="AN38" i="47"/>
  <c r="K38" i="47"/>
  <c r="AQ45" i="47"/>
  <c r="AB45" i="47"/>
  <c r="AF45" i="47"/>
  <c r="F453" i="63" s="1"/>
  <c r="B144" i="61"/>
  <c r="AD45" i="47"/>
  <c r="AC45" i="47"/>
  <c r="A453" i="63"/>
  <c r="AE45" i="47"/>
  <c r="E453" i="63" s="1"/>
  <c r="B278" i="61"/>
  <c r="T79" i="47"/>
  <c r="F211" i="63" s="1"/>
  <c r="AO79" i="47"/>
  <c r="Q79" i="47"/>
  <c r="S79" i="47"/>
  <c r="E211" i="63" s="1"/>
  <c r="A211" i="63"/>
  <c r="K53" i="47"/>
  <c r="M53" i="47"/>
  <c r="A47" i="63"/>
  <c r="AN53" i="47"/>
  <c r="B173" i="61"/>
  <c r="N53" i="47"/>
  <c r="F47" i="63" s="1"/>
  <c r="AB60" i="47"/>
  <c r="AC60" i="47"/>
  <c r="B204" i="61"/>
  <c r="AD60" i="47"/>
  <c r="AF60" i="47"/>
  <c r="F468" i="63" s="1"/>
  <c r="A468" i="63"/>
  <c r="AQ60" i="47"/>
  <c r="AE60" i="47"/>
  <c r="E468" i="63" s="1"/>
  <c r="K72" i="47"/>
  <c r="A66" i="63"/>
  <c r="M72" i="47"/>
  <c r="AN72" i="47"/>
  <c r="B249" i="61"/>
  <c r="N72" i="47"/>
  <c r="F66" i="63" s="1"/>
  <c r="S54" i="47"/>
  <c r="E186" i="63" s="1"/>
  <c r="B178" i="61"/>
  <c r="Q54" i="47"/>
  <c r="AO54" i="47"/>
  <c r="T54" i="47"/>
  <c r="F186" i="63" s="1"/>
  <c r="A186" i="63"/>
  <c r="AN73" i="47"/>
  <c r="M73" i="47"/>
  <c r="A67" i="63"/>
  <c r="K73" i="47"/>
  <c r="B253" i="61"/>
  <c r="N73" i="47"/>
  <c r="F67" i="63" s="1"/>
  <c r="S36" i="47"/>
  <c r="E168" i="63" s="1"/>
  <c r="T36" i="47"/>
  <c r="F168" i="63" s="1"/>
  <c r="B106" i="61"/>
  <c r="AO36" i="47"/>
  <c r="A168" i="63"/>
  <c r="Q36" i="47"/>
  <c r="B365" i="61"/>
  <c r="A95" i="63"/>
  <c r="N101" i="47"/>
  <c r="F95" i="63" s="1"/>
  <c r="AN101" i="47"/>
  <c r="K101" i="47"/>
  <c r="M101" i="47"/>
  <c r="Z11" i="47"/>
  <c r="F281" i="63" s="1"/>
  <c r="W11" i="47"/>
  <c r="A281" i="63"/>
  <c r="AP11" i="47"/>
  <c r="B7" i="61"/>
  <c r="Y11" i="47"/>
  <c r="E281" i="63" s="1"/>
  <c r="S85" i="47"/>
  <c r="E217" i="63" s="1"/>
  <c r="AO85" i="47"/>
  <c r="B302" i="61"/>
  <c r="A217" i="63"/>
  <c r="Q85" i="47"/>
  <c r="T85" i="47"/>
  <c r="F217" i="63" s="1"/>
  <c r="AF79" i="47"/>
  <c r="F487" i="63" s="1"/>
  <c r="A487" i="63"/>
  <c r="AD79" i="47"/>
  <c r="AC79" i="47"/>
  <c r="AB79" i="47"/>
  <c r="AE79" i="47"/>
  <c r="E487" i="63" s="1"/>
  <c r="AQ79" i="47"/>
  <c r="B280" i="61"/>
  <c r="S110" i="47"/>
  <c r="E242" i="63" s="1"/>
  <c r="T110" i="47"/>
  <c r="F242" i="63" s="1"/>
  <c r="Q110" i="47"/>
  <c r="AO110" i="47"/>
  <c r="A242" i="63"/>
  <c r="B402" i="61"/>
  <c r="B303" i="61"/>
  <c r="A355" i="63"/>
  <c r="Z85" i="47"/>
  <c r="F355" i="63" s="1"/>
  <c r="W85" i="47"/>
  <c r="AP85" i="47"/>
  <c r="Y85" i="47"/>
  <c r="E355" i="63" s="1"/>
  <c r="A98" i="63"/>
  <c r="M104" i="47"/>
  <c r="K104" i="47"/>
  <c r="AN104" i="47"/>
  <c r="B377" i="61"/>
  <c r="N104" i="47"/>
  <c r="F98" i="63" s="1"/>
  <c r="AQ34" i="47"/>
  <c r="A442" i="63"/>
  <c r="B100" i="61"/>
  <c r="AF34" i="47"/>
  <c r="F442" i="63" s="1"/>
  <c r="AB34" i="47"/>
  <c r="AD34" i="47"/>
  <c r="AE34" i="47"/>
  <c r="E442" i="63" s="1"/>
  <c r="AC34" i="47"/>
  <c r="AO106" i="47"/>
  <c r="Q106" i="47"/>
  <c r="A238" i="63"/>
  <c r="T106" i="47"/>
  <c r="F238" i="63" s="1"/>
  <c r="S106" i="47"/>
  <c r="E238" i="63" s="1"/>
  <c r="B386" i="61"/>
  <c r="M67" i="47"/>
  <c r="B229" i="61"/>
  <c r="N67" i="47"/>
  <c r="F61" i="63" s="1"/>
  <c r="A61" i="63"/>
  <c r="AN67" i="47"/>
  <c r="K67" i="47"/>
  <c r="AB106" i="47"/>
  <c r="AQ106" i="47"/>
  <c r="B388" i="61"/>
  <c r="A514" i="63"/>
  <c r="AD106" i="47"/>
  <c r="AF106" i="47"/>
  <c r="F514" i="63" s="1"/>
  <c r="AE106" i="47"/>
  <c r="E514" i="63" s="1"/>
  <c r="AC106" i="47"/>
  <c r="S82" i="47"/>
  <c r="E214" i="63" s="1"/>
  <c r="AO82" i="47"/>
  <c r="T82" i="47"/>
  <c r="F214" i="63" s="1"/>
  <c r="B290" i="61"/>
  <c r="Q82" i="47"/>
  <c r="A214" i="63"/>
  <c r="A54" i="63"/>
  <c r="M60" i="47"/>
  <c r="K60" i="47"/>
  <c r="N60" i="47"/>
  <c r="F54" i="63" s="1"/>
  <c r="B201" i="61"/>
  <c r="AN60" i="47"/>
  <c r="B469" i="61"/>
  <c r="N127" i="47"/>
  <c r="F121" i="63" s="1"/>
  <c r="K127" i="47"/>
  <c r="AN127" i="47"/>
  <c r="A121" i="63"/>
  <c r="M127" i="47"/>
  <c r="M115" i="47"/>
  <c r="K115" i="47"/>
  <c r="A109" i="63"/>
  <c r="AN115" i="47"/>
  <c r="N115" i="47"/>
  <c r="F109" i="63" s="1"/>
  <c r="B421" i="61"/>
  <c r="K64" i="47"/>
  <c r="N64" i="47"/>
  <c r="F58" i="63" s="1"/>
  <c r="B217" i="61"/>
  <c r="AN64" i="47"/>
  <c r="A58" i="63"/>
  <c r="M64" i="47"/>
  <c r="N119" i="47"/>
  <c r="F113" i="63" s="1"/>
  <c r="AN119" i="47"/>
  <c r="K119" i="47"/>
  <c r="B437" i="61"/>
  <c r="M119" i="47"/>
  <c r="A113" i="63"/>
  <c r="AD49" i="47"/>
  <c r="B160" i="61"/>
  <c r="AQ49" i="47"/>
  <c r="A457" i="63"/>
  <c r="AF49" i="47"/>
  <c r="F457" i="63" s="1"/>
  <c r="AE49" i="47"/>
  <c r="E457" i="63" s="1"/>
  <c r="AB49" i="47"/>
  <c r="AC49" i="47"/>
  <c r="M140" i="47"/>
  <c r="A134" i="63"/>
  <c r="N140" i="47"/>
  <c r="F134" i="63" s="1"/>
  <c r="K140" i="47"/>
  <c r="C134" i="63" s="1"/>
  <c r="AN140" i="47"/>
  <c r="B244" i="61"/>
  <c r="AD70" i="47"/>
  <c r="AF70" i="47"/>
  <c r="F478" i="63" s="1"/>
  <c r="AE70" i="47"/>
  <c r="E478" i="63" s="1"/>
  <c r="AB70" i="47"/>
  <c r="AQ70" i="47"/>
  <c r="A478" i="63"/>
  <c r="AC70" i="47"/>
  <c r="M146" i="47"/>
  <c r="N146" i="47"/>
  <c r="F140" i="63" s="1"/>
  <c r="AN146" i="47"/>
  <c r="K146" i="47"/>
  <c r="C140" i="63" s="1"/>
  <c r="A140" i="63"/>
  <c r="AD121" i="47"/>
  <c r="AC121" i="47"/>
  <c r="B448" i="61"/>
  <c r="AQ121" i="47"/>
  <c r="AE121" i="47"/>
  <c r="E529" i="63" s="1"/>
  <c r="AB121" i="47"/>
  <c r="AF121" i="47"/>
  <c r="F529" i="63" s="1"/>
  <c r="A529" i="63"/>
  <c r="B452" i="61"/>
  <c r="AB122" i="47"/>
  <c r="A530" i="63"/>
  <c r="AC122" i="47"/>
  <c r="AF122" i="47"/>
  <c r="F530" i="63" s="1"/>
  <c r="AD122" i="47"/>
  <c r="AE122" i="47"/>
  <c r="E530" i="63" s="1"/>
  <c r="AQ122" i="47"/>
  <c r="M49" i="47"/>
  <c r="AN49" i="47"/>
  <c r="B157" i="61"/>
  <c r="N49" i="47"/>
  <c r="F43" i="63" s="1"/>
  <c r="K49" i="47"/>
  <c r="A43" i="63"/>
  <c r="A68" i="63"/>
  <c r="M74" i="47"/>
  <c r="AN74" i="47"/>
  <c r="K74" i="47"/>
  <c r="B257" i="61"/>
  <c r="N74" i="47"/>
  <c r="F68" i="63" s="1"/>
  <c r="AF46" i="47"/>
  <c r="F454" i="63" s="1"/>
  <c r="B148" i="61"/>
  <c r="AC46" i="47"/>
  <c r="AQ46" i="47"/>
  <c r="AD46" i="47"/>
  <c r="AE46" i="47"/>
  <c r="E454" i="63" s="1"/>
  <c r="A454" i="63"/>
  <c r="AB46" i="47"/>
  <c r="B310" i="61"/>
  <c r="A219" i="63"/>
  <c r="S87" i="47"/>
  <c r="E219" i="63" s="1"/>
  <c r="AO87" i="47"/>
  <c r="Q87" i="47"/>
  <c r="T87" i="47"/>
  <c r="F219" i="63" s="1"/>
  <c r="M32" i="47"/>
  <c r="A26" i="63"/>
  <c r="B89" i="61"/>
  <c r="AN32" i="47"/>
  <c r="K32" i="47"/>
  <c r="N32" i="47"/>
  <c r="F26" i="63" s="1"/>
  <c r="K79" i="47"/>
  <c r="B277" i="61"/>
  <c r="N79" i="47"/>
  <c r="F73" i="63" s="1"/>
  <c r="AN79" i="47"/>
  <c r="M79" i="47"/>
  <c r="A73" i="63"/>
  <c r="AQ44" i="47"/>
  <c r="AE44" i="47"/>
  <c r="E452" i="63" s="1"/>
  <c r="B140" i="61"/>
  <c r="A452" i="63"/>
  <c r="AB44" i="47"/>
  <c r="AD44" i="47"/>
  <c r="AC44" i="47"/>
  <c r="AF44" i="47"/>
  <c r="F452" i="63" s="1"/>
  <c r="B67" i="61"/>
  <c r="W26" i="47"/>
  <c r="Y26" i="47"/>
  <c r="E296" i="63" s="1"/>
  <c r="Z26" i="47"/>
  <c r="F296" i="63" s="1"/>
  <c r="A296" i="63"/>
  <c r="AP26" i="47"/>
  <c r="AQ66" i="47"/>
  <c r="A474" i="63"/>
  <c r="AE66" i="47"/>
  <c r="E474" i="63" s="1"/>
  <c r="AC66" i="47"/>
  <c r="B228" i="61"/>
  <c r="AF66" i="47"/>
  <c r="F474" i="63" s="1"/>
  <c r="AB66" i="47"/>
  <c r="AD66" i="47"/>
  <c r="AE67" i="47"/>
  <c r="E475" i="63" s="1"/>
  <c r="AD67" i="47"/>
  <c r="B232" i="61"/>
  <c r="AQ67" i="47"/>
  <c r="A475" i="63"/>
  <c r="AB67" i="47"/>
  <c r="AF67" i="47"/>
  <c r="F475" i="63" s="1"/>
  <c r="AC67" i="47"/>
  <c r="A428" i="63"/>
  <c r="AC20" i="47"/>
  <c r="AE20" i="47"/>
  <c r="E428" i="63" s="1"/>
  <c r="B44" i="61"/>
  <c r="AF20" i="47"/>
  <c r="F428" i="63" s="1"/>
  <c r="AQ20" i="47"/>
  <c r="AB20" i="47"/>
  <c r="AD20" i="47"/>
  <c r="Q136" i="47"/>
  <c r="S136" i="47"/>
  <c r="E268" i="63" s="1"/>
  <c r="B506" i="61"/>
  <c r="AO136" i="47"/>
  <c r="A268" i="63"/>
  <c r="T136" i="47"/>
  <c r="F268" i="63" s="1"/>
  <c r="B483" i="61"/>
  <c r="Y130" i="47"/>
  <c r="E400" i="63" s="1"/>
  <c r="Z130" i="47"/>
  <c r="F400" i="63" s="1"/>
  <c r="W130" i="47"/>
  <c r="A400" i="63"/>
  <c r="AP130" i="47"/>
  <c r="T45" i="47"/>
  <c r="F177" i="63" s="1"/>
  <c r="Q45" i="47"/>
  <c r="AO45" i="47"/>
  <c r="S45" i="47"/>
  <c r="E177" i="63" s="1"/>
  <c r="A177" i="63"/>
  <c r="B142" i="61"/>
  <c r="W102" i="47"/>
  <c r="A372" i="63"/>
  <c r="Z102" i="47"/>
  <c r="F372" i="63" s="1"/>
  <c r="B371" i="61"/>
  <c r="Y102" i="47"/>
  <c r="E372" i="63" s="1"/>
  <c r="AP102" i="47"/>
  <c r="T140" i="47"/>
  <c r="F272" i="63" s="1"/>
  <c r="S140" i="47"/>
  <c r="E272" i="63" s="1"/>
  <c r="AO140" i="47"/>
  <c r="Q140" i="47"/>
  <c r="C272" i="63" s="1"/>
  <c r="A272" i="63"/>
  <c r="A460" i="63"/>
  <c r="AD52" i="47"/>
  <c r="AE52" i="47"/>
  <c r="E460" i="63" s="1"/>
  <c r="AF52" i="47"/>
  <c r="F460" i="63" s="1"/>
  <c r="AC52" i="47"/>
  <c r="B172" i="61"/>
  <c r="AB52" i="47"/>
  <c r="AQ52" i="47"/>
  <c r="AN128" i="47"/>
  <c r="M128" i="47"/>
  <c r="K128" i="47"/>
  <c r="B473" i="61"/>
  <c r="A122" i="63"/>
  <c r="N128" i="47"/>
  <c r="F122" i="63" s="1"/>
  <c r="AP22" i="47"/>
  <c r="Z22" i="47"/>
  <c r="F292" i="63" s="1"/>
  <c r="Y22" i="47"/>
  <c r="E292" i="63" s="1"/>
  <c r="A292" i="63"/>
  <c r="B51" i="61"/>
  <c r="W22" i="47"/>
  <c r="AO52" i="47"/>
  <c r="B170" i="61"/>
  <c r="S52" i="47"/>
  <c r="E184" i="63" s="1"/>
  <c r="A184" i="63"/>
  <c r="Q52" i="47"/>
  <c r="T52" i="47"/>
  <c r="F184" i="63" s="1"/>
  <c r="AP90" i="47"/>
  <c r="Z90" i="47"/>
  <c r="F360" i="63" s="1"/>
  <c r="W90" i="47"/>
  <c r="A360" i="63"/>
  <c r="Y90" i="47"/>
  <c r="E360" i="63" s="1"/>
  <c r="B323" i="61"/>
  <c r="AF81" i="47"/>
  <c r="F489" i="63" s="1"/>
  <c r="AD81" i="47"/>
  <c r="AQ81" i="47"/>
  <c r="AE81" i="47"/>
  <c r="E489" i="63" s="1"/>
  <c r="AC81" i="47"/>
  <c r="AB81" i="47"/>
  <c r="A489" i="63"/>
  <c r="B288" i="61"/>
  <c r="Q94" i="47"/>
  <c r="B338" i="61"/>
  <c r="S94" i="47"/>
  <c r="E226" i="63" s="1"/>
  <c r="A226" i="63"/>
  <c r="AO94" i="47"/>
  <c r="T94" i="47"/>
  <c r="F226" i="63" s="1"/>
  <c r="AC144" i="47"/>
  <c r="C552" i="63" s="1"/>
  <c r="AE144" i="47"/>
  <c r="E552" i="63" s="1"/>
  <c r="A552" i="63"/>
  <c r="AF144" i="47"/>
  <c r="F552" i="63" s="1"/>
  <c r="AQ144" i="47"/>
  <c r="AB144" i="47"/>
  <c r="B552" i="63" s="1"/>
  <c r="AD144" i="47"/>
  <c r="D552" i="63" s="1"/>
  <c r="S145" i="47"/>
  <c r="E277" i="63" s="1"/>
  <c r="Q145" i="47"/>
  <c r="C277" i="63" s="1"/>
  <c r="AO145" i="47"/>
  <c r="T145" i="47"/>
  <c r="F277" i="63" s="1"/>
  <c r="A277" i="63"/>
  <c r="AB137" i="47"/>
  <c r="AF137" i="47"/>
  <c r="F545" i="63" s="1"/>
  <c r="A545" i="63"/>
  <c r="B512" i="61"/>
  <c r="AD137" i="47"/>
  <c r="AE137" i="47"/>
  <c r="E545" i="63" s="1"/>
  <c r="AQ137" i="47"/>
  <c r="AC137" i="47"/>
  <c r="B467" i="61"/>
  <c r="W126" i="47"/>
  <c r="Z126" i="47"/>
  <c r="F396" i="63" s="1"/>
  <c r="AP126" i="47"/>
  <c r="A396" i="63"/>
  <c r="Y126" i="47"/>
  <c r="E396" i="63" s="1"/>
  <c r="N65" i="47"/>
  <c r="F59" i="63" s="1"/>
  <c r="M65" i="47"/>
  <c r="K65" i="47"/>
  <c r="AN65" i="47"/>
  <c r="B221" i="61"/>
  <c r="A59" i="63"/>
  <c r="AF92" i="47"/>
  <c r="F500" i="63" s="1"/>
  <c r="AE92" i="47"/>
  <c r="E500" i="63" s="1"/>
  <c r="AD92" i="47"/>
  <c r="B332" i="61"/>
  <c r="A500" i="63"/>
  <c r="AB92" i="47"/>
  <c r="AQ92" i="47"/>
  <c r="AC92" i="47"/>
  <c r="S53" i="47"/>
  <c r="E185" i="63" s="1"/>
  <c r="T53" i="47"/>
  <c r="F185" i="63" s="1"/>
  <c r="B174" i="61"/>
  <c r="A185" i="63"/>
  <c r="AO53" i="47"/>
  <c r="Q53" i="47"/>
  <c r="N11" i="47"/>
  <c r="F5" i="63" s="1"/>
  <c r="B5" i="61"/>
  <c r="K11" i="47"/>
  <c r="AN11" i="47"/>
  <c r="A5" i="63"/>
  <c r="M11" i="47"/>
  <c r="T88" i="47"/>
  <c r="F220" i="63" s="1"/>
  <c r="A220" i="63"/>
  <c r="B314" i="61"/>
  <c r="S88" i="47"/>
  <c r="E220" i="63" s="1"/>
  <c r="AO88" i="47"/>
  <c r="Q88" i="47"/>
  <c r="B119" i="61"/>
  <c r="W39" i="47"/>
  <c r="Z39" i="47"/>
  <c r="F309" i="63" s="1"/>
  <c r="AP39" i="47"/>
  <c r="A309" i="63"/>
  <c r="Y39" i="47"/>
  <c r="E309" i="63" s="1"/>
  <c r="AE19" i="47"/>
  <c r="E427" i="63" s="1"/>
  <c r="AD19" i="47"/>
  <c r="A427" i="63"/>
  <c r="AQ19" i="47"/>
  <c r="AB19" i="47"/>
  <c r="B40" i="61"/>
  <c r="AC19" i="47"/>
  <c r="AF19" i="47"/>
  <c r="F427" i="63" s="1"/>
  <c r="W79" i="47"/>
  <c r="Z79" i="47"/>
  <c r="F349" i="63" s="1"/>
  <c r="A349" i="63"/>
  <c r="B279" i="61"/>
  <c r="AP79" i="47"/>
  <c r="Y79" i="47"/>
  <c r="E349" i="63" s="1"/>
  <c r="AE90" i="47"/>
  <c r="E498" i="63" s="1"/>
  <c r="A498" i="63"/>
  <c r="AQ90" i="47"/>
  <c r="AF90" i="47"/>
  <c r="F498" i="63" s="1"/>
  <c r="AC90" i="47"/>
  <c r="B324" i="61"/>
  <c r="AB90" i="47"/>
  <c r="AD90" i="47"/>
  <c r="T81" i="47"/>
  <c r="F213" i="63" s="1"/>
  <c r="Q81" i="47"/>
  <c r="A213" i="63"/>
  <c r="AO81" i="47"/>
  <c r="S81" i="47"/>
  <c r="E213" i="63" s="1"/>
  <c r="B286" i="61"/>
  <c r="T63" i="47"/>
  <c r="F195" i="63" s="1"/>
  <c r="B214" i="61"/>
  <c r="S63" i="47"/>
  <c r="E195" i="63" s="1"/>
  <c r="A195" i="63"/>
  <c r="Q63" i="47"/>
  <c r="AO63" i="47"/>
  <c r="K143" i="47"/>
  <c r="C137" i="63" s="1"/>
  <c r="M143" i="47"/>
  <c r="A137" i="63"/>
  <c r="AN143" i="47"/>
  <c r="N143" i="47"/>
  <c r="F137" i="63" s="1"/>
  <c r="A492" i="63"/>
  <c r="B300" i="61"/>
  <c r="AQ84" i="47"/>
  <c r="AD84" i="47"/>
  <c r="AE84" i="47"/>
  <c r="E492" i="63" s="1"/>
  <c r="AC84" i="47"/>
  <c r="AB84" i="47"/>
  <c r="AF84" i="47"/>
  <c r="F492" i="63" s="1"/>
  <c r="M108" i="47"/>
  <c r="N108" i="47"/>
  <c r="F102" i="63" s="1"/>
  <c r="K108" i="47"/>
  <c r="AN108" i="47"/>
  <c r="B393" i="61"/>
  <c r="A102" i="63"/>
  <c r="Y120" i="47"/>
  <c r="E390" i="63" s="1"/>
  <c r="AP120" i="47"/>
  <c r="A390" i="63"/>
  <c r="W120" i="47"/>
  <c r="Z120" i="47"/>
  <c r="F390" i="63" s="1"/>
  <c r="B443" i="61"/>
  <c r="W47" i="47"/>
  <c r="Y47" i="47"/>
  <c r="E317" i="63" s="1"/>
  <c r="Z47" i="47"/>
  <c r="F317" i="63" s="1"/>
  <c r="AP47" i="47"/>
  <c r="A317" i="63"/>
  <c r="B151" i="61"/>
  <c r="A101" i="63"/>
  <c r="N107" i="47"/>
  <c r="F101" i="63" s="1"/>
  <c r="M107" i="47"/>
  <c r="B389" i="61"/>
  <c r="AN107" i="47"/>
  <c r="K107" i="47"/>
  <c r="AC28" i="47"/>
  <c r="AQ28" i="47"/>
  <c r="A436" i="63"/>
  <c r="AB28" i="47"/>
  <c r="AF28" i="47"/>
  <c r="F436" i="63" s="1"/>
  <c r="AD28" i="47"/>
  <c r="AE28" i="47"/>
  <c r="E436" i="63" s="1"/>
  <c r="B76" i="61"/>
  <c r="AP116" i="47"/>
  <c r="B427" i="61"/>
  <c r="A386" i="63"/>
  <c r="Z116" i="47"/>
  <c r="F386" i="63" s="1"/>
  <c r="Y116" i="47"/>
  <c r="E386" i="63" s="1"/>
  <c r="W116" i="47"/>
  <c r="A322" i="63"/>
  <c r="AP52" i="47"/>
  <c r="Z52" i="47"/>
  <c r="F322" i="63" s="1"/>
  <c r="W52" i="47"/>
  <c r="B171" i="61"/>
  <c r="Y52" i="47"/>
  <c r="E322" i="63" s="1"/>
  <c r="Z55" i="47"/>
  <c r="F325" i="63" s="1"/>
  <c r="AP55" i="47"/>
  <c r="A325" i="63"/>
  <c r="W55" i="47"/>
  <c r="Y55" i="47"/>
  <c r="E325" i="63" s="1"/>
  <c r="B183" i="61"/>
  <c r="AN118" i="47"/>
  <c r="B433" i="61"/>
  <c r="K118" i="47"/>
  <c r="N118" i="47"/>
  <c r="F112" i="63" s="1"/>
  <c r="M118" i="47"/>
  <c r="A112" i="63"/>
  <c r="AO142" i="47"/>
  <c r="Q142" i="47"/>
  <c r="C274" i="63" s="1"/>
  <c r="S142" i="47"/>
  <c r="E274" i="63" s="1"/>
  <c r="A274" i="63"/>
  <c r="T142" i="47"/>
  <c r="F274" i="63" s="1"/>
  <c r="S29" i="47"/>
  <c r="E161" i="63" s="1"/>
  <c r="A161" i="63"/>
  <c r="AO29" i="47"/>
  <c r="Q29" i="47"/>
  <c r="T29" i="47"/>
  <c r="F161" i="63" s="1"/>
  <c r="B78" i="61"/>
  <c r="AF63" i="47"/>
  <c r="F471" i="63" s="1"/>
  <c r="AD63" i="47"/>
  <c r="A471" i="63"/>
  <c r="AB63" i="47"/>
  <c r="AE63" i="47"/>
  <c r="E471" i="63" s="1"/>
  <c r="B216" i="61"/>
  <c r="AQ63" i="47"/>
  <c r="AC63" i="47"/>
  <c r="B61" i="61"/>
  <c r="AN25" i="47"/>
  <c r="K25" i="47"/>
  <c r="M25" i="47"/>
  <c r="A19" i="63"/>
  <c r="N25" i="47"/>
  <c r="F19" i="63" s="1"/>
  <c r="T62" i="47"/>
  <c r="F194" i="63" s="1"/>
  <c r="AO62" i="47"/>
  <c r="B210" i="61"/>
  <c r="A194" i="63"/>
  <c r="Q62" i="47"/>
  <c r="S62" i="47"/>
  <c r="E194" i="63" s="1"/>
  <c r="W92" i="47"/>
  <c r="AP92" i="47"/>
  <c r="B331" i="61"/>
  <c r="A362" i="63"/>
  <c r="Y92" i="47"/>
  <c r="E362" i="63" s="1"/>
  <c r="Z92" i="47"/>
  <c r="F362" i="63" s="1"/>
  <c r="AD128" i="47"/>
  <c r="AC128" i="47"/>
  <c r="AE128" i="47"/>
  <c r="E536" i="63" s="1"/>
  <c r="A536" i="63"/>
  <c r="AB128" i="47"/>
  <c r="B476" i="61"/>
  <c r="AQ128" i="47"/>
  <c r="AF128" i="47"/>
  <c r="F536" i="63" s="1"/>
  <c r="AO68" i="47"/>
  <c r="S68" i="47"/>
  <c r="E200" i="63" s="1"/>
  <c r="B234" i="61"/>
  <c r="A200" i="63"/>
  <c r="Q68" i="47"/>
  <c r="T68" i="47"/>
  <c r="F200" i="63" s="1"/>
  <c r="T21" i="47"/>
  <c r="F153" i="63" s="1"/>
  <c r="B46" i="61"/>
  <c r="AO21" i="47"/>
  <c r="A153" i="63"/>
  <c r="Q21" i="47"/>
  <c r="S21" i="47"/>
  <c r="E153" i="63" s="1"/>
  <c r="AB15" i="47"/>
  <c r="B24" i="61"/>
  <c r="AC15" i="47"/>
  <c r="AF15" i="47"/>
  <c r="F423" i="63" s="1"/>
  <c r="AD15" i="47"/>
  <c r="A423" i="63"/>
  <c r="AE15" i="47"/>
  <c r="E423" i="63" s="1"/>
  <c r="AQ15" i="47"/>
  <c r="A135" i="63"/>
  <c r="K141" i="47"/>
  <c r="C135" i="63" s="1"/>
  <c r="N141" i="47"/>
  <c r="F135" i="63" s="1"/>
  <c r="AN141" i="47"/>
  <c r="M141" i="47"/>
  <c r="Y69" i="47"/>
  <c r="E339" i="63" s="1"/>
  <c r="A339" i="63"/>
  <c r="Z69" i="47"/>
  <c r="F339" i="63" s="1"/>
  <c r="B239" i="61"/>
  <c r="AP69" i="47"/>
  <c r="W69" i="47"/>
  <c r="AP42" i="47"/>
  <c r="W42" i="47"/>
  <c r="A312" i="63"/>
  <c r="Z42" i="47"/>
  <c r="F312" i="63" s="1"/>
  <c r="Y42" i="47"/>
  <c r="E312" i="63" s="1"/>
  <c r="B131" i="61"/>
  <c r="AD53" i="47"/>
  <c r="AE53" i="47"/>
  <c r="E461" i="63" s="1"/>
  <c r="AF53" i="47"/>
  <c r="F461" i="63" s="1"/>
  <c r="A461" i="63"/>
  <c r="AC53" i="47"/>
  <c r="AB53" i="47"/>
  <c r="B176" i="61"/>
  <c r="AQ53" i="47"/>
  <c r="M147" i="47"/>
  <c r="A141" i="63"/>
  <c r="K147" i="47"/>
  <c r="C141" i="63" s="1"/>
  <c r="N147" i="47"/>
  <c r="F141" i="63" s="1"/>
  <c r="AN147" i="47"/>
  <c r="K77" i="47"/>
  <c r="A71" i="63"/>
  <c r="AN77" i="47"/>
  <c r="B269" i="61"/>
  <c r="N77" i="47"/>
  <c r="F71" i="63" s="1"/>
  <c r="M77" i="47"/>
  <c r="Q43" i="47"/>
  <c r="AO43" i="47"/>
  <c r="B134" i="61"/>
  <c r="T43" i="47"/>
  <c r="F175" i="63" s="1"/>
  <c r="A175" i="63"/>
  <c r="S43" i="47"/>
  <c r="E175" i="63" s="1"/>
  <c r="AC91" i="47"/>
  <c r="AE91" i="47"/>
  <c r="E499" i="63" s="1"/>
  <c r="AQ91" i="47"/>
  <c r="AF91" i="47"/>
  <c r="F499" i="63" s="1"/>
  <c r="AB91" i="47"/>
  <c r="AD91" i="47"/>
  <c r="B328" i="61"/>
  <c r="A499" i="63"/>
  <c r="A553" i="63"/>
  <c r="AC145" i="47"/>
  <c r="C553" i="63" s="1"/>
  <c r="AQ145" i="47"/>
  <c r="AF145" i="47"/>
  <c r="F553" i="63" s="1"/>
  <c r="AE145" i="47"/>
  <c r="E553" i="63" s="1"/>
  <c r="AB145" i="47"/>
  <c r="B553" i="63" s="1"/>
  <c r="AD145" i="47"/>
  <c r="D553" i="63" s="1"/>
  <c r="AN31" i="47"/>
  <c r="M31" i="47"/>
  <c r="A25" i="63"/>
  <c r="N31" i="47"/>
  <c r="F25" i="63" s="1"/>
  <c r="B85" i="61"/>
  <c r="K31" i="47"/>
  <c r="Y14" i="47"/>
  <c r="E284" i="63" s="1"/>
  <c r="W14" i="47"/>
  <c r="AP14" i="47"/>
  <c r="A284" i="63"/>
  <c r="B19" i="61"/>
  <c r="Z14" i="47"/>
  <c r="F284" i="63" s="1"/>
  <c r="A243" i="63"/>
  <c r="Q111" i="47"/>
  <c r="AO111" i="47"/>
  <c r="T111" i="47"/>
  <c r="F243" i="63" s="1"/>
  <c r="B406" i="61"/>
  <c r="S111" i="47"/>
  <c r="E243" i="63" s="1"/>
  <c r="AN110" i="47"/>
  <c r="A104" i="63"/>
  <c r="B401" i="61"/>
  <c r="N110" i="47"/>
  <c r="F104" i="63" s="1"/>
  <c r="K110" i="47"/>
  <c r="M110" i="47"/>
  <c r="K14" i="47"/>
  <c r="AN14" i="47"/>
  <c r="B17" i="61"/>
  <c r="N14" i="47"/>
  <c r="F8" i="63" s="1"/>
  <c r="M14" i="47"/>
  <c r="A8" i="63"/>
  <c r="AE57" i="47"/>
  <c r="E465" i="63" s="1"/>
  <c r="AF57" i="47"/>
  <c r="F465" i="63" s="1"/>
  <c r="AC57" i="47"/>
  <c r="B192" i="61"/>
  <c r="AQ57" i="47"/>
  <c r="AD57" i="47"/>
  <c r="A465" i="63"/>
  <c r="AB57" i="47"/>
  <c r="AF22" i="47"/>
  <c r="F430" i="63" s="1"/>
  <c r="AE22" i="47"/>
  <c r="E430" i="63" s="1"/>
  <c r="AQ22" i="47"/>
  <c r="AD22" i="47"/>
  <c r="B52" i="61"/>
  <c r="AB22" i="47"/>
  <c r="A430" i="63"/>
  <c r="AC22" i="47"/>
  <c r="T120" i="47"/>
  <c r="F252" i="63" s="1"/>
  <c r="B442" i="61"/>
  <c r="Q120" i="47"/>
  <c r="A252" i="63"/>
  <c r="S120" i="47"/>
  <c r="E252" i="63" s="1"/>
  <c r="AO120" i="47"/>
  <c r="AB35" i="47"/>
  <c r="AE35" i="47"/>
  <c r="E443" i="63" s="1"/>
  <c r="AC35" i="47"/>
  <c r="A443" i="63"/>
  <c r="AD35" i="47"/>
  <c r="AQ35" i="47"/>
  <c r="B104" i="61"/>
  <c r="AF35" i="47"/>
  <c r="F443" i="63" s="1"/>
  <c r="Q24" i="47"/>
  <c r="T24" i="47"/>
  <c r="F156" i="63" s="1"/>
  <c r="B58" i="61"/>
  <c r="A156" i="63"/>
  <c r="S24" i="47"/>
  <c r="E156" i="63" s="1"/>
  <c r="AO24" i="47"/>
  <c r="A205" i="63"/>
  <c r="S73" i="47"/>
  <c r="E205" i="63" s="1"/>
  <c r="B254" i="61"/>
  <c r="T73" i="47"/>
  <c r="F205" i="63" s="1"/>
  <c r="Q73" i="47"/>
  <c r="AO73" i="47"/>
  <c r="Y16" i="47"/>
  <c r="E286" i="63" s="1"/>
  <c r="B27" i="61"/>
  <c r="AP16" i="47"/>
  <c r="W16" i="47"/>
  <c r="Z16" i="47"/>
  <c r="F286" i="63" s="1"/>
  <c r="A286" i="63"/>
  <c r="AP80" i="47"/>
  <c r="W80" i="47"/>
  <c r="Z80" i="47"/>
  <c r="F350" i="63" s="1"/>
  <c r="B283" i="61"/>
  <c r="Y80" i="47"/>
  <c r="E350" i="63" s="1"/>
  <c r="A350" i="63"/>
  <c r="B220" i="61"/>
  <c r="AE64" i="47"/>
  <c r="E472" i="63" s="1"/>
  <c r="AQ64" i="47"/>
  <c r="AC64" i="47"/>
  <c r="AB64" i="47"/>
  <c r="AF64" i="47"/>
  <c r="F472" i="63" s="1"/>
  <c r="A472" i="63"/>
  <c r="AD64" i="47"/>
  <c r="A193" i="63"/>
  <c r="AO61" i="47"/>
  <c r="T61" i="47"/>
  <c r="F193" i="63" s="1"/>
  <c r="Q61" i="47"/>
  <c r="B206" i="61"/>
  <c r="S61" i="47"/>
  <c r="E193" i="63" s="1"/>
  <c r="AN93" i="47"/>
  <c r="A87" i="63"/>
  <c r="K93" i="47"/>
  <c r="M93" i="47"/>
  <c r="N93" i="47"/>
  <c r="F87" i="63" s="1"/>
  <c r="B333" i="61"/>
  <c r="Q115" i="47"/>
  <c r="T115" i="47"/>
  <c r="F247" i="63" s="1"/>
  <c r="A247" i="63"/>
  <c r="AO115" i="47"/>
  <c r="B422" i="61"/>
  <c r="S115" i="47"/>
  <c r="E247" i="63" s="1"/>
  <c r="AF38" i="47"/>
  <c r="F446" i="63" s="1"/>
  <c r="AQ38" i="47"/>
  <c r="AC38" i="47"/>
  <c r="AB38" i="47"/>
  <c r="B116" i="61"/>
  <c r="AD38" i="47"/>
  <c r="AE38" i="47"/>
  <c r="E446" i="63" s="1"/>
  <c r="A446" i="63"/>
  <c r="B107" i="61"/>
  <c r="Y36" i="47"/>
  <c r="E306" i="63" s="1"/>
  <c r="AP36" i="47"/>
  <c r="Z36" i="47"/>
  <c r="F306" i="63" s="1"/>
  <c r="A306" i="63"/>
  <c r="W36" i="47"/>
  <c r="K35" i="47"/>
  <c r="N35" i="47"/>
  <c r="F29" i="63" s="1"/>
  <c r="B101" i="61"/>
  <c r="A29" i="63"/>
  <c r="AN35" i="47"/>
  <c r="M35" i="47"/>
  <c r="B83" i="61"/>
  <c r="A300" i="63"/>
  <c r="W30" i="47"/>
  <c r="Y30" i="47"/>
  <c r="E300" i="63" s="1"/>
  <c r="AP30" i="47"/>
  <c r="Z30" i="47"/>
  <c r="F300" i="63" s="1"/>
  <c r="M43" i="47"/>
  <c r="N43" i="47"/>
  <c r="F37" i="63" s="1"/>
  <c r="B133" i="61"/>
  <c r="A37" i="63"/>
  <c r="AN43" i="47"/>
  <c r="K43" i="47"/>
  <c r="B475" i="61"/>
  <c r="Y128" i="47"/>
  <c r="E398" i="63" s="1"/>
  <c r="AP128" i="47"/>
  <c r="A398" i="63"/>
  <c r="W128" i="47"/>
  <c r="Z128" i="47"/>
  <c r="F398" i="63" s="1"/>
  <c r="K81" i="47"/>
  <c r="N81" i="47"/>
  <c r="F75" i="63" s="1"/>
  <c r="B285" i="61"/>
  <c r="M81" i="47"/>
  <c r="A75" i="63"/>
  <c r="AN81" i="47"/>
  <c r="AN46" i="47"/>
  <c r="M46" i="47"/>
  <c r="A40" i="63"/>
  <c r="B145" i="61"/>
  <c r="K46" i="47"/>
  <c r="N46" i="47"/>
  <c r="F40" i="63" s="1"/>
  <c r="B230" i="61"/>
  <c r="T67" i="47"/>
  <c r="F199" i="63" s="1"/>
  <c r="A199" i="63"/>
  <c r="Q67" i="47"/>
  <c r="AO67" i="47"/>
  <c r="S67" i="47"/>
  <c r="E199" i="63" s="1"/>
  <c r="AE21" i="47"/>
  <c r="E429" i="63" s="1"/>
  <c r="AF21" i="47"/>
  <c r="F429" i="63" s="1"/>
  <c r="AB21" i="47"/>
  <c r="AD21" i="47"/>
  <c r="A429" i="63"/>
  <c r="B48" i="61"/>
  <c r="AC21" i="47"/>
  <c r="AQ21" i="47"/>
  <c r="T38" i="47"/>
  <c r="F170" i="63" s="1"/>
  <c r="Q38" i="47"/>
  <c r="B114" i="61"/>
  <c r="AO38" i="47"/>
  <c r="S38" i="47"/>
  <c r="E170" i="63" s="1"/>
  <c r="A170" i="63"/>
  <c r="AQ65" i="47"/>
  <c r="AF65" i="47"/>
  <c r="F473" i="63" s="1"/>
  <c r="AC65" i="47"/>
  <c r="A473" i="63"/>
  <c r="AE65" i="47"/>
  <c r="E473" i="63" s="1"/>
  <c r="AD65" i="47"/>
  <c r="B224" i="61"/>
  <c r="AB65" i="47"/>
  <c r="N91" i="47"/>
  <c r="F85" i="63" s="1"/>
  <c r="AN91" i="47"/>
  <c r="A85" i="63"/>
  <c r="M91" i="47"/>
  <c r="K91" i="47"/>
  <c r="B325" i="61"/>
  <c r="Z67" i="47"/>
  <c r="F337" i="63" s="1"/>
  <c r="AP67" i="47"/>
  <c r="Y67" i="47"/>
  <c r="E337" i="63" s="1"/>
  <c r="W67" i="47"/>
  <c r="A337" i="63"/>
  <c r="B231" i="61"/>
  <c r="M96" i="47"/>
  <c r="A90" i="63"/>
  <c r="B345" i="61"/>
  <c r="AN96" i="47"/>
  <c r="K96" i="47"/>
  <c r="N96" i="47"/>
  <c r="F90" i="63" s="1"/>
  <c r="A160" i="63"/>
  <c r="T28" i="47"/>
  <c r="F160" i="63" s="1"/>
  <c r="AO28" i="47"/>
  <c r="B74" i="61"/>
  <c r="Q28" i="47"/>
  <c r="S28" i="47"/>
  <c r="E160" i="63" s="1"/>
  <c r="Z146" i="47"/>
  <c r="F416" i="63" s="1"/>
  <c r="Y146" i="47"/>
  <c r="E416" i="63" s="1"/>
  <c r="A416" i="63"/>
  <c r="AP146" i="47"/>
  <c r="W146" i="47"/>
  <c r="C416" i="63" s="1"/>
  <c r="B87" i="61"/>
  <c r="A301" i="63"/>
  <c r="W31" i="47"/>
  <c r="AP31" i="47"/>
  <c r="Z31" i="47"/>
  <c r="F301" i="63" s="1"/>
  <c r="Y31" i="47"/>
  <c r="E301" i="63" s="1"/>
  <c r="A410" i="63"/>
  <c r="AP140" i="47"/>
  <c r="Z140" i="47"/>
  <c r="F410" i="63" s="1"/>
  <c r="W140" i="47"/>
  <c r="C410" i="63" s="1"/>
  <c r="Y140" i="47"/>
  <c r="E410" i="63" s="1"/>
  <c r="Q80" i="47"/>
  <c r="B282" i="61"/>
  <c r="AO80" i="47"/>
  <c r="S80" i="47"/>
  <c r="E212" i="63" s="1"/>
  <c r="A212" i="63"/>
  <c r="T80" i="47"/>
  <c r="F212" i="63" s="1"/>
  <c r="AC99" i="47"/>
  <c r="B360" i="61"/>
  <c r="AD99" i="47"/>
  <c r="AB99" i="47"/>
  <c r="A507" i="63"/>
  <c r="AF99" i="47"/>
  <c r="F507" i="63" s="1"/>
  <c r="AE99" i="47"/>
  <c r="E507" i="63" s="1"/>
  <c r="AQ99" i="47"/>
  <c r="M29" i="47"/>
  <c r="A23" i="63"/>
  <c r="B77" i="61"/>
  <c r="N29" i="47"/>
  <c r="F23" i="63" s="1"/>
  <c r="K29" i="47"/>
  <c r="AN29" i="47"/>
  <c r="Q46" i="47"/>
  <c r="B146" i="61"/>
  <c r="A178" i="63"/>
  <c r="T46" i="47"/>
  <c r="F178" i="63" s="1"/>
  <c r="AO46" i="47"/>
  <c r="S46" i="47"/>
  <c r="E178" i="63" s="1"/>
  <c r="AE142" i="47"/>
  <c r="E550" i="63" s="1"/>
  <c r="AQ142" i="47"/>
  <c r="A550" i="63"/>
  <c r="AB142" i="47"/>
  <c r="B550" i="63" s="1"/>
  <c r="AC142" i="47"/>
  <c r="C550" i="63" s="1"/>
  <c r="AF142" i="47"/>
  <c r="F550" i="63" s="1"/>
  <c r="AD142" i="47"/>
  <c r="D550" i="63" s="1"/>
  <c r="W121" i="47"/>
  <c r="Z121" i="47"/>
  <c r="F391" i="63" s="1"/>
  <c r="AP121" i="47"/>
  <c r="A391" i="63"/>
  <c r="B447" i="61"/>
  <c r="Y121" i="47"/>
  <c r="E391" i="63" s="1"/>
  <c r="A267" i="63"/>
  <c r="B502" i="61"/>
  <c r="T135" i="47"/>
  <c r="F267" i="63" s="1"/>
  <c r="S135" i="47"/>
  <c r="E267" i="63" s="1"/>
  <c r="AO135" i="47"/>
  <c r="Q135" i="47"/>
  <c r="W98" i="47"/>
  <c r="B355" i="61"/>
  <c r="Z98" i="47"/>
  <c r="F368" i="63" s="1"/>
  <c r="Y98" i="47"/>
  <c r="E368" i="63" s="1"/>
  <c r="AP98" i="47"/>
  <c r="A368" i="63"/>
  <c r="AQ104" i="47"/>
  <c r="B380" i="61"/>
  <c r="AE104" i="47"/>
  <c r="E512" i="63" s="1"/>
  <c r="AB104" i="47"/>
  <c r="AD104" i="47"/>
  <c r="A512" i="63"/>
  <c r="AC104" i="47"/>
  <c r="AF104" i="47"/>
  <c r="F512" i="63" s="1"/>
  <c r="B8" i="61"/>
  <c r="AE11" i="47"/>
  <c r="E419" i="63" s="1"/>
  <c r="AC11" i="47"/>
  <c r="A419" i="63"/>
  <c r="AB11" i="47"/>
  <c r="AD11" i="47"/>
  <c r="AF11" i="47"/>
  <c r="F419" i="63" s="1"/>
  <c r="AQ11" i="47"/>
  <c r="A485" i="63"/>
  <c r="AD77" i="47"/>
  <c r="AQ77" i="47"/>
  <c r="AC77" i="47"/>
  <c r="AF77" i="47"/>
  <c r="F485" i="63" s="1"/>
  <c r="AE77" i="47"/>
  <c r="E485" i="63" s="1"/>
  <c r="AB77" i="47"/>
  <c r="B272" i="61"/>
  <c r="AO134" i="47"/>
  <c r="B498" i="61"/>
  <c r="Q134" i="47"/>
  <c r="S134" i="47"/>
  <c r="E266" i="63" s="1"/>
  <c r="T134" i="47"/>
  <c r="F266" i="63" s="1"/>
  <c r="A266" i="63"/>
  <c r="B102" i="61"/>
  <c r="S35" i="47"/>
  <c r="E167" i="63" s="1"/>
  <c r="A167" i="63"/>
  <c r="AO35" i="47"/>
  <c r="Q35" i="47"/>
  <c r="T35" i="47"/>
  <c r="F167" i="63" s="1"/>
  <c r="Y144" i="47"/>
  <c r="E414" i="63" s="1"/>
  <c r="AP144" i="47"/>
  <c r="A414" i="63"/>
  <c r="W144" i="47"/>
  <c r="C414" i="63" s="1"/>
  <c r="Z144" i="47"/>
  <c r="F414" i="63" s="1"/>
  <c r="AP94" i="47"/>
  <c r="W94" i="47"/>
  <c r="A364" i="63"/>
  <c r="Y94" i="47"/>
  <c r="E364" i="63" s="1"/>
  <c r="Z94" i="47"/>
  <c r="F364" i="63" s="1"/>
  <c r="B339" i="61"/>
  <c r="S23" i="47"/>
  <c r="E155" i="63" s="1"/>
  <c r="B54" i="61"/>
  <c r="AO23" i="47"/>
  <c r="A155" i="63"/>
  <c r="T23" i="47"/>
  <c r="F155" i="63" s="1"/>
  <c r="Q23" i="47"/>
  <c r="B227" i="61"/>
  <c r="A336" i="63"/>
  <c r="Z66" i="47"/>
  <c r="F336" i="63" s="1"/>
  <c r="W66" i="47"/>
  <c r="Y66" i="47"/>
  <c r="E336" i="63" s="1"/>
  <c r="AP66" i="47"/>
  <c r="B260" i="61"/>
  <c r="AE74" i="47"/>
  <c r="E482" i="63" s="1"/>
  <c r="AQ74" i="47"/>
  <c r="AD74" i="47"/>
  <c r="A482" i="63"/>
  <c r="AB74" i="47"/>
  <c r="AC74" i="47"/>
  <c r="AF74" i="47"/>
  <c r="F482" i="63" s="1"/>
  <c r="AO22" i="47"/>
  <c r="A154" i="63"/>
  <c r="S22" i="47"/>
  <c r="E154" i="63" s="1"/>
  <c r="B50" i="61"/>
  <c r="T22" i="47"/>
  <c r="F154" i="63" s="1"/>
  <c r="Q22" i="47"/>
  <c r="AO148" i="47"/>
  <c r="Q148" i="47"/>
  <c r="C280" i="63" s="1"/>
  <c r="A280" i="63"/>
  <c r="S148" i="47"/>
  <c r="E280" i="63" s="1"/>
  <c r="T148" i="47"/>
  <c r="F280" i="63" s="1"/>
  <c r="AC100" i="47"/>
  <c r="B364" i="61"/>
  <c r="AF100" i="47"/>
  <c r="F508" i="63" s="1"/>
  <c r="AQ100" i="47"/>
  <c r="A508" i="63"/>
  <c r="AE100" i="47"/>
  <c r="E508" i="63" s="1"/>
  <c r="AB100" i="47"/>
  <c r="AD100" i="47"/>
  <c r="T91" i="47"/>
  <c r="F223" i="63" s="1"/>
  <c r="AO91" i="47"/>
  <c r="Q91" i="47"/>
  <c r="B326" i="61"/>
  <c r="S91" i="47"/>
  <c r="E223" i="63" s="1"/>
  <c r="A223" i="63"/>
  <c r="B35" i="61"/>
  <c r="Y18" i="47"/>
  <c r="E288" i="63" s="1"/>
  <c r="AP18" i="47"/>
  <c r="A288" i="63"/>
  <c r="Z18" i="47"/>
  <c r="F288" i="63" s="1"/>
  <c r="W18" i="47"/>
  <c r="B139" i="61"/>
  <c r="Y44" i="47"/>
  <c r="E314" i="63" s="1"/>
  <c r="Z44" i="47"/>
  <c r="F314" i="63" s="1"/>
  <c r="W44" i="47"/>
  <c r="A314" i="63"/>
  <c r="AP44" i="47"/>
  <c r="Y108" i="47"/>
  <c r="E378" i="63" s="1"/>
  <c r="AP108" i="47"/>
  <c r="W108" i="47"/>
  <c r="A378" i="63"/>
  <c r="Z108" i="47"/>
  <c r="F378" i="63" s="1"/>
  <c r="B395" i="61"/>
  <c r="AB24" i="47"/>
  <c r="B60" i="61"/>
  <c r="A432" i="63"/>
  <c r="AQ24" i="47"/>
  <c r="AE24" i="47"/>
  <c r="E432" i="63" s="1"/>
  <c r="AC24" i="47"/>
  <c r="AF24" i="47"/>
  <c r="F432" i="63" s="1"/>
  <c r="AD24" i="47"/>
  <c r="AO100" i="47"/>
  <c r="S100" i="47"/>
  <c r="E232" i="63" s="1"/>
  <c r="A232" i="63"/>
  <c r="B362" i="61"/>
  <c r="T100" i="47"/>
  <c r="F232" i="63" s="1"/>
  <c r="Q100" i="47"/>
  <c r="K37" i="47"/>
  <c r="A31" i="63"/>
  <c r="N37" i="47"/>
  <c r="F31" i="63" s="1"/>
  <c r="M37" i="47"/>
  <c r="B109" i="61"/>
  <c r="AN37" i="47"/>
  <c r="A97" i="63"/>
  <c r="B373" i="61"/>
  <c r="AN103" i="47"/>
  <c r="N103" i="47"/>
  <c r="F97" i="63" s="1"/>
  <c r="M103" i="47"/>
  <c r="K103" i="47"/>
  <c r="K131" i="47"/>
  <c r="M131" i="47"/>
  <c r="AN131" i="47"/>
  <c r="N131" i="47"/>
  <c r="F125" i="63" s="1"/>
  <c r="B485" i="61"/>
  <c r="A125" i="63"/>
  <c r="A517" i="63"/>
  <c r="AD109" i="47"/>
  <c r="AF109" i="47"/>
  <c r="F517" i="63" s="1"/>
  <c r="AE109" i="47"/>
  <c r="E517" i="63" s="1"/>
  <c r="AQ109" i="47"/>
  <c r="B400" i="61"/>
  <c r="AC109" i="47"/>
  <c r="AB109" i="47"/>
  <c r="A535" i="63"/>
  <c r="AQ127" i="47"/>
  <c r="AC127" i="47"/>
  <c r="B472" i="61"/>
  <c r="AF127" i="47"/>
  <c r="F535" i="63" s="1"/>
  <c r="AD127" i="47"/>
  <c r="AE127" i="47"/>
  <c r="E535" i="63" s="1"/>
  <c r="AB127" i="47"/>
  <c r="K130" i="47"/>
  <c r="AN130" i="47"/>
  <c r="B481" i="61"/>
  <c r="M130" i="47"/>
  <c r="A124" i="63"/>
  <c r="N130" i="47"/>
  <c r="F124" i="63" s="1"/>
  <c r="M54" i="47"/>
  <c r="AN54" i="47"/>
  <c r="N54" i="47"/>
  <c r="F48" i="63" s="1"/>
  <c r="K54" i="47"/>
  <c r="B177" i="61"/>
  <c r="A48" i="63"/>
  <c r="A77" i="63"/>
  <c r="K83" i="47"/>
  <c r="N83" i="47"/>
  <c r="F77" i="63" s="1"/>
  <c r="B293" i="61"/>
  <c r="M83" i="47"/>
  <c r="AN83" i="47"/>
  <c r="AQ58" i="47"/>
  <c r="AE58" i="47"/>
  <c r="E466" i="63" s="1"/>
  <c r="AD58" i="47"/>
  <c r="AB58" i="47"/>
  <c r="A466" i="63"/>
  <c r="AC58" i="47"/>
  <c r="B196" i="61"/>
  <c r="AF58" i="47"/>
  <c r="F466" i="63" s="1"/>
  <c r="Y91" i="47"/>
  <c r="E361" i="63" s="1"/>
  <c r="W91" i="47"/>
  <c r="Z91" i="47"/>
  <c r="F361" i="63" s="1"/>
  <c r="B327" i="61"/>
  <c r="A361" i="63"/>
  <c r="AP91" i="47"/>
  <c r="Z127" i="47"/>
  <c r="F397" i="63" s="1"/>
  <c r="B471" i="61"/>
  <c r="A397" i="63"/>
  <c r="AP127" i="47"/>
  <c r="Y127" i="47"/>
  <c r="E397" i="63" s="1"/>
  <c r="W127" i="47"/>
  <c r="Z49" i="47"/>
  <c r="F319" i="63" s="1"/>
  <c r="Y49" i="47"/>
  <c r="E319" i="63" s="1"/>
  <c r="B159" i="61"/>
  <c r="A319" i="63"/>
  <c r="W49" i="47"/>
  <c r="AP49" i="47"/>
  <c r="M30" i="47"/>
  <c r="N30" i="47"/>
  <c r="F24" i="63" s="1"/>
  <c r="B81" i="61"/>
  <c r="AN30" i="47"/>
  <c r="K30" i="47"/>
  <c r="A24" i="63"/>
  <c r="AC30" i="47"/>
  <c r="AE30" i="47"/>
  <c r="E438" i="63" s="1"/>
  <c r="AD30" i="47"/>
  <c r="AQ30" i="47"/>
  <c r="B84" i="61"/>
  <c r="A438" i="63"/>
  <c r="AB30" i="47"/>
  <c r="AF30" i="47"/>
  <c r="F438" i="63" s="1"/>
  <c r="N23" i="47"/>
  <c r="F17" i="63" s="1"/>
  <c r="A17" i="63"/>
  <c r="B53" i="61"/>
  <c r="M23" i="47"/>
  <c r="K23" i="47"/>
  <c r="AN23" i="47"/>
  <c r="AP139" i="47"/>
  <c r="Z139" i="47"/>
  <c r="F409" i="63" s="1"/>
  <c r="A409" i="63"/>
  <c r="Y139" i="47"/>
  <c r="E409" i="63" s="1"/>
  <c r="W139" i="47"/>
  <c r="C409" i="63" s="1"/>
  <c r="M109" i="47"/>
  <c r="AN109" i="47"/>
  <c r="B397" i="61"/>
  <c r="K109" i="47"/>
  <c r="A103" i="63"/>
  <c r="N109" i="47"/>
  <c r="F103" i="63" s="1"/>
  <c r="B451" i="61"/>
  <c r="Z122" i="47"/>
  <c r="F392" i="63" s="1"/>
  <c r="AP122" i="47"/>
  <c r="Y122" i="47"/>
  <c r="E392" i="63" s="1"/>
  <c r="W122" i="47"/>
  <c r="A392" i="63"/>
  <c r="A257" i="63"/>
  <c r="AO125" i="47"/>
  <c r="B462" i="61"/>
  <c r="Q125" i="47"/>
  <c r="T125" i="47"/>
  <c r="F257" i="63" s="1"/>
  <c r="S125" i="47"/>
  <c r="E257" i="63" s="1"/>
  <c r="K36" i="47"/>
  <c r="M36" i="47"/>
  <c r="A30" i="63"/>
  <c r="N36" i="47"/>
  <c r="F30" i="63" s="1"/>
  <c r="B105" i="61"/>
  <c r="AN36" i="47"/>
  <c r="M102" i="47"/>
  <c r="A96" i="63"/>
  <c r="K102" i="47"/>
  <c r="AN102" i="47"/>
  <c r="N102" i="47"/>
  <c r="F96" i="63" s="1"/>
  <c r="B369" i="61"/>
  <c r="AB138" i="47"/>
  <c r="B516" i="61"/>
  <c r="AQ138" i="47"/>
  <c r="A546" i="63"/>
  <c r="AE138" i="47"/>
  <c r="E546" i="63" s="1"/>
  <c r="AD138" i="47"/>
  <c r="AC138" i="47"/>
  <c r="AF138" i="47"/>
  <c r="F546" i="63" s="1"/>
  <c r="AF143" i="47"/>
  <c r="F551" i="63" s="1"/>
  <c r="AQ143" i="47"/>
  <c r="AB143" i="47"/>
  <c r="B551" i="63" s="1"/>
  <c r="A551" i="63"/>
  <c r="AC143" i="47"/>
  <c r="C551" i="63" s="1"/>
  <c r="AE143" i="47"/>
  <c r="E551" i="63" s="1"/>
  <c r="AD143" i="47"/>
  <c r="D551" i="63" s="1"/>
  <c r="N16" i="47"/>
  <c r="F10" i="63" s="1"/>
  <c r="AN16" i="47"/>
  <c r="A10" i="63"/>
  <c r="M16" i="47"/>
  <c r="B25" i="61"/>
  <c r="K16" i="47"/>
  <c r="B385" i="61"/>
  <c r="M106" i="47"/>
  <c r="N106" i="47"/>
  <c r="F100" i="63" s="1"/>
  <c r="AN106" i="47"/>
  <c r="A100" i="63"/>
  <c r="K106" i="47"/>
  <c r="N80" i="47"/>
  <c r="F74" i="63" s="1"/>
  <c r="AN80" i="47"/>
  <c r="M80" i="47"/>
  <c r="A74" i="63"/>
  <c r="K80" i="47"/>
  <c r="B281" i="61"/>
  <c r="A16" i="63"/>
  <c r="B49" i="61"/>
  <c r="K22" i="47"/>
  <c r="N22" i="47"/>
  <c r="F16" i="63" s="1"/>
  <c r="AN22" i="47"/>
  <c r="M22" i="47"/>
  <c r="B186" i="61"/>
  <c r="S56" i="47"/>
  <c r="E188" i="63" s="1"/>
  <c r="T56" i="47"/>
  <c r="F188" i="63" s="1"/>
  <c r="Q56" i="47"/>
  <c r="A188" i="63"/>
  <c r="AO56" i="47"/>
  <c r="N26" i="47"/>
  <c r="F20" i="63" s="1"/>
  <c r="A20" i="63"/>
  <c r="K26" i="47"/>
  <c r="AN26" i="47"/>
  <c r="B65" i="61"/>
  <c r="M26" i="47"/>
  <c r="AO129" i="47"/>
  <c r="T129" i="47"/>
  <c r="F261" i="63" s="1"/>
  <c r="Q129" i="47"/>
  <c r="B478" i="61"/>
  <c r="S129" i="47"/>
  <c r="E261" i="63" s="1"/>
  <c r="A261" i="63"/>
  <c r="A191" i="63"/>
  <c r="B198" i="61"/>
  <c r="AO59" i="47"/>
  <c r="S59" i="47"/>
  <c r="E191" i="63" s="1"/>
  <c r="Q59" i="47"/>
  <c r="T59" i="47"/>
  <c r="F191" i="63" s="1"/>
  <c r="AO13" i="47"/>
  <c r="T13" i="47"/>
  <c r="F145" i="63" s="1"/>
  <c r="Q13" i="47"/>
  <c r="B14" i="61"/>
  <c r="A145" i="63"/>
  <c r="S13" i="47"/>
  <c r="E145" i="63" s="1"/>
  <c r="B190" i="61"/>
  <c r="A189" i="63"/>
  <c r="T57" i="47"/>
  <c r="F189" i="63" s="1"/>
  <c r="S57" i="47"/>
  <c r="E189" i="63" s="1"/>
  <c r="Q57" i="47"/>
  <c r="AO57" i="47"/>
  <c r="A271" i="63"/>
  <c r="T139" i="47"/>
  <c r="F271" i="63" s="1"/>
  <c r="S139" i="47"/>
  <c r="E271" i="63" s="1"/>
  <c r="Q139" i="47"/>
  <c r="C271" i="63" s="1"/>
  <c r="AO139" i="47"/>
  <c r="Z34" i="47"/>
  <c r="F304" i="63" s="1"/>
  <c r="W34" i="47"/>
  <c r="B99" i="61"/>
  <c r="AP34" i="47"/>
  <c r="A304" i="63"/>
  <c r="Y34" i="47"/>
  <c r="E304" i="63" s="1"/>
  <c r="A435" i="63"/>
  <c r="AQ27" i="47"/>
  <c r="B72" i="61"/>
  <c r="AD27" i="47"/>
  <c r="AF27" i="47"/>
  <c r="F435" i="63" s="1"/>
  <c r="AB27" i="47"/>
  <c r="AC27" i="47"/>
  <c r="AE27" i="47"/>
  <c r="E435" i="63" s="1"/>
  <c r="AF113" i="47"/>
  <c r="F521" i="63" s="1"/>
  <c r="A521" i="63"/>
  <c r="AD113" i="47"/>
  <c r="AE113" i="47"/>
  <c r="E521" i="63" s="1"/>
  <c r="B416" i="61"/>
  <c r="AC113" i="47"/>
  <c r="AQ113" i="47"/>
  <c r="AB113" i="47"/>
  <c r="Z111" i="47"/>
  <c r="F381" i="63" s="1"/>
  <c r="W111" i="47"/>
  <c r="Y111" i="47"/>
  <c r="E381" i="63" s="1"/>
  <c r="AP111" i="47"/>
  <c r="A381" i="63"/>
  <c r="B407" i="61"/>
  <c r="AD39" i="47"/>
  <c r="AC39" i="47"/>
  <c r="A447" i="63"/>
  <c r="AQ39" i="47"/>
  <c r="B120" i="61"/>
  <c r="AF39" i="47"/>
  <c r="F447" i="63" s="1"/>
  <c r="AE39" i="47"/>
  <c r="E447" i="63" s="1"/>
  <c r="AB39" i="47"/>
  <c r="AE18" i="47"/>
  <c r="E426" i="63" s="1"/>
  <c r="AD18" i="47"/>
  <c r="AB18" i="47"/>
  <c r="A426" i="63"/>
  <c r="B36" i="61"/>
  <c r="AC18" i="47"/>
  <c r="AQ18" i="47"/>
  <c r="AF18" i="47"/>
  <c r="F426" i="63" s="1"/>
  <c r="AB23" i="47"/>
  <c r="AF23" i="47"/>
  <c r="F431" i="63" s="1"/>
  <c r="A431" i="63"/>
  <c r="AD23" i="47"/>
  <c r="B56" i="61"/>
  <c r="AC23" i="47"/>
  <c r="AQ23" i="47"/>
  <c r="AE23" i="47"/>
  <c r="E431" i="63" s="1"/>
  <c r="Y100" i="47"/>
  <c r="E370" i="63" s="1"/>
  <c r="W100" i="47"/>
  <c r="AP100" i="47"/>
  <c r="B363" i="61"/>
  <c r="Z100" i="47"/>
  <c r="F370" i="63" s="1"/>
  <c r="A370" i="63"/>
  <c r="S95" i="47"/>
  <c r="E227" i="63" s="1"/>
  <c r="B342" i="61"/>
  <c r="Q95" i="47"/>
  <c r="T95" i="47"/>
  <c r="F227" i="63" s="1"/>
  <c r="A227" i="63"/>
  <c r="AO95" i="47"/>
  <c r="B208" i="61"/>
  <c r="A469" i="63"/>
  <c r="AB61" i="47"/>
  <c r="AC61" i="47"/>
  <c r="AE61" i="47"/>
  <c r="E469" i="63" s="1"/>
  <c r="AQ61" i="47"/>
  <c r="AD61" i="47"/>
  <c r="AF61" i="47"/>
  <c r="F469" i="63" s="1"/>
  <c r="Y56" i="47"/>
  <c r="E326" i="63" s="1"/>
  <c r="A326" i="63"/>
  <c r="AP56" i="47"/>
  <c r="Z56" i="47"/>
  <c r="F326" i="63" s="1"/>
  <c r="W56" i="47"/>
  <c r="B187" i="61"/>
  <c r="W88" i="47"/>
  <c r="B315" i="61"/>
  <c r="Y88" i="47"/>
  <c r="E358" i="63" s="1"/>
  <c r="AP88" i="47"/>
  <c r="Z88" i="47"/>
  <c r="F358" i="63" s="1"/>
  <c r="A358" i="63"/>
  <c r="B456" i="61"/>
  <c r="A531" i="63"/>
  <c r="AC123" i="47"/>
  <c r="AQ123" i="47"/>
  <c r="AF123" i="47"/>
  <c r="F531" i="63" s="1"/>
  <c r="AD123" i="47"/>
  <c r="AB123" i="47"/>
  <c r="AE123" i="47"/>
  <c r="E531" i="63" s="1"/>
  <c r="AQ147" i="47"/>
  <c r="AB147" i="47"/>
  <c r="B555" i="63" s="1"/>
  <c r="A555" i="63"/>
  <c r="AF147" i="47"/>
  <c r="F555" i="63" s="1"/>
  <c r="AE147" i="47"/>
  <c r="E555" i="63" s="1"/>
  <c r="AD147" i="47"/>
  <c r="D555" i="63" s="1"/>
  <c r="AC147" i="47"/>
  <c r="C555" i="63" s="1"/>
  <c r="B202" i="61"/>
  <c r="T60" i="47"/>
  <c r="F192" i="63" s="1"/>
  <c r="Q60" i="47"/>
  <c r="A192" i="63"/>
  <c r="S60" i="47"/>
  <c r="E192" i="63" s="1"/>
  <c r="AO60" i="47"/>
  <c r="B245" i="61"/>
  <c r="A65" i="63"/>
  <c r="K71" i="47"/>
  <c r="N71" i="47"/>
  <c r="F65" i="63" s="1"/>
  <c r="M71" i="47"/>
  <c r="AN71" i="47"/>
  <c r="B335" i="61"/>
  <c r="W93" i="47"/>
  <c r="Z93" i="47"/>
  <c r="F363" i="63" s="1"/>
  <c r="A363" i="63"/>
  <c r="AP93" i="47"/>
  <c r="Y93" i="47"/>
  <c r="E363" i="63" s="1"/>
  <c r="M89" i="47"/>
  <c r="K89" i="47"/>
  <c r="A83" i="63"/>
  <c r="AN89" i="47"/>
  <c r="N89" i="47"/>
  <c r="F83" i="63" s="1"/>
  <c r="B317" i="61"/>
  <c r="AF141" i="47"/>
  <c r="F549" i="63" s="1"/>
  <c r="AD141" i="47"/>
  <c r="D549" i="63" s="1"/>
  <c r="AC141" i="47"/>
  <c r="C549" i="63" s="1"/>
  <c r="AB141" i="47"/>
  <c r="B549" i="63" s="1"/>
  <c r="A549" i="63"/>
  <c r="AQ141" i="47"/>
  <c r="AE141" i="47"/>
  <c r="E549" i="63" s="1"/>
  <c r="M114" i="47"/>
  <c r="N114" i="47"/>
  <c r="F108" i="63" s="1"/>
  <c r="B417" i="61"/>
  <c r="K114" i="47"/>
  <c r="AN114" i="47"/>
  <c r="A108" i="63"/>
  <c r="A118" i="63"/>
  <c r="K124" i="47"/>
  <c r="AN124" i="47"/>
  <c r="N124" i="47"/>
  <c r="F118" i="63" s="1"/>
  <c r="M124" i="47"/>
  <c r="B457" i="61"/>
  <c r="B374" i="61"/>
  <c r="A235" i="63"/>
  <c r="T103" i="47"/>
  <c r="F235" i="63" s="1"/>
  <c r="AO103" i="47"/>
  <c r="Q103" i="47"/>
  <c r="S103" i="47"/>
  <c r="E235" i="63" s="1"/>
  <c r="AB31" i="47"/>
  <c r="B88" i="61"/>
  <c r="AF31" i="47"/>
  <c r="F439" i="63" s="1"/>
  <c r="AQ31" i="47"/>
  <c r="AC31" i="47"/>
  <c r="AD31" i="47"/>
  <c r="AE31" i="47"/>
  <c r="E439" i="63" s="1"/>
  <c r="A439" i="63"/>
  <c r="A290" i="63"/>
  <c r="W20" i="47"/>
  <c r="B43" i="61"/>
  <c r="Y20" i="47"/>
  <c r="E290" i="63" s="1"/>
  <c r="AP20" i="47"/>
  <c r="Z20" i="47"/>
  <c r="F290" i="63" s="1"/>
  <c r="AB125" i="47"/>
  <c r="AF125" i="47"/>
  <c r="F533" i="63" s="1"/>
  <c r="A533" i="63"/>
  <c r="AC125" i="47"/>
  <c r="AE125" i="47"/>
  <c r="E533" i="63" s="1"/>
  <c r="B464" i="61"/>
  <c r="AQ125" i="47"/>
  <c r="AD125" i="47"/>
  <c r="A483" i="63"/>
  <c r="AF75" i="47"/>
  <c r="F483" i="63" s="1"/>
  <c r="B264" i="61"/>
  <c r="AE75" i="47"/>
  <c r="E483" i="63" s="1"/>
  <c r="AB75" i="47"/>
  <c r="AD75" i="47"/>
  <c r="AC75" i="47"/>
  <c r="AQ75" i="47"/>
  <c r="Z48" i="47"/>
  <c r="F318" i="63" s="1"/>
  <c r="W48" i="47"/>
  <c r="Y48" i="47"/>
  <c r="E318" i="63" s="1"/>
  <c r="B155" i="61"/>
  <c r="A318" i="63"/>
  <c r="AP48" i="47"/>
  <c r="Z117" i="47"/>
  <c r="F387" i="63" s="1"/>
  <c r="A387" i="63"/>
  <c r="B431" i="61"/>
  <c r="AP117" i="47"/>
  <c r="W117" i="47"/>
  <c r="Y117" i="47"/>
  <c r="E387" i="63" s="1"/>
  <c r="W24" i="47"/>
  <c r="B59" i="61"/>
  <c r="Y24" i="47"/>
  <c r="E294" i="63" s="1"/>
  <c r="Z24" i="47"/>
  <c r="F294" i="63" s="1"/>
  <c r="AP24" i="47"/>
  <c r="A294" i="63"/>
  <c r="AC68" i="47"/>
  <c r="AF68" i="47"/>
  <c r="F476" i="63" s="1"/>
  <c r="AQ68" i="47"/>
  <c r="A476" i="63"/>
  <c r="AB68" i="47"/>
  <c r="AD68" i="47"/>
  <c r="AE68" i="47"/>
  <c r="E476" i="63" s="1"/>
  <c r="B236" i="61"/>
  <c r="M24" i="47"/>
  <c r="B57" i="61"/>
  <c r="K24" i="47"/>
  <c r="A18" i="63"/>
  <c r="AN24" i="47"/>
  <c r="N24" i="47"/>
  <c r="F18" i="63" s="1"/>
  <c r="AF16" i="47"/>
  <c r="F424" i="63" s="1"/>
  <c r="AE16" i="47"/>
  <c r="E424" i="63" s="1"/>
  <c r="AC16" i="47"/>
  <c r="AB16" i="47"/>
  <c r="AD16" i="47"/>
  <c r="A424" i="63"/>
  <c r="AQ16" i="47"/>
  <c r="B28" i="61"/>
  <c r="AE29" i="47"/>
  <c r="E437" i="63" s="1"/>
  <c r="B80" i="61"/>
  <c r="AC29" i="47"/>
  <c r="AD29" i="47"/>
  <c r="AB29" i="47"/>
  <c r="AQ29" i="47"/>
  <c r="AF29" i="47"/>
  <c r="F437" i="63" s="1"/>
  <c r="A437" i="63"/>
  <c r="A279" i="63"/>
  <c r="T147" i="47"/>
  <c r="F279" i="63" s="1"/>
  <c r="S147" i="47"/>
  <c r="E279" i="63" s="1"/>
  <c r="Q147" i="47"/>
  <c r="C279" i="63" s="1"/>
  <c r="AO147" i="47"/>
  <c r="M144" i="47"/>
  <c r="K144" i="47"/>
  <c r="C138" i="63" s="1"/>
  <c r="A138" i="63"/>
  <c r="N144" i="47"/>
  <c r="F138" i="63" s="1"/>
  <c r="AN144" i="47"/>
  <c r="B351" i="61"/>
  <c r="Y97" i="47"/>
  <c r="E367" i="63" s="1"/>
  <c r="AP97" i="47"/>
  <c r="A367" i="63"/>
  <c r="W97" i="47"/>
  <c r="Z97" i="47"/>
  <c r="F367" i="63" s="1"/>
  <c r="AN78" i="47"/>
  <c r="M78" i="47"/>
  <c r="K78" i="47"/>
  <c r="B273" i="61"/>
  <c r="N78" i="47"/>
  <c r="F72" i="63" s="1"/>
  <c r="A72" i="63"/>
  <c r="W82" i="47"/>
  <c r="Y82" i="47"/>
  <c r="E352" i="63" s="1"/>
  <c r="B291" i="61"/>
  <c r="AP82" i="47"/>
  <c r="Z82" i="47"/>
  <c r="F352" i="63" s="1"/>
  <c r="A352" i="63"/>
  <c r="AF135" i="47"/>
  <c r="F543" i="63" s="1"/>
  <c r="B504" i="61"/>
  <c r="AC135" i="47"/>
  <c r="AQ135" i="47"/>
  <c r="AD135" i="47"/>
  <c r="AB135" i="47"/>
  <c r="AE135" i="47"/>
  <c r="E543" i="63" s="1"/>
  <c r="A543" i="63"/>
  <c r="B284" i="61"/>
  <c r="AC80" i="47"/>
  <c r="AD80" i="47"/>
  <c r="AQ80" i="47"/>
  <c r="AB80" i="47"/>
  <c r="AE80" i="47"/>
  <c r="E488" i="63" s="1"/>
  <c r="AF80" i="47"/>
  <c r="F488" i="63" s="1"/>
  <c r="A488" i="63"/>
  <c r="B391" i="61"/>
  <c r="Z107" i="47"/>
  <c r="F377" i="63" s="1"/>
  <c r="W107" i="47"/>
  <c r="A377" i="63"/>
  <c r="AP107" i="47"/>
  <c r="Y107" i="47"/>
  <c r="E377" i="63" s="1"/>
  <c r="Y13" i="47"/>
  <c r="E283" i="63" s="1"/>
  <c r="B15" i="61"/>
  <c r="AP13" i="47"/>
  <c r="W13" i="47"/>
  <c r="A283" i="63"/>
  <c r="Z13" i="47"/>
  <c r="F283" i="63" s="1"/>
  <c r="T114" i="47"/>
  <c r="F246" i="63" s="1"/>
  <c r="A246" i="63"/>
  <c r="B418" i="61"/>
  <c r="Q114" i="47"/>
  <c r="S114" i="47"/>
  <c r="E246" i="63" s="1"/>
  <c r="AO114" i="47"/>
  <c r="Q122" i="47"/>
  <c r="AO122" i="47"/>
  <c r="A254" i="63"/>
  <c r="T122" i="47"/>
  <c r="F254" i="63" s="1"/>
  <c r="S122" i="47"/>
  <c r="E254" i="63" s="1"/>
  <c r="B450" i="61"/>
  <c r="M98" i="47"/>
  <c r="A92" i="63"/>
  <c r="K98" i="47"/>
  <c r="AN98" i="47"/>
  <c r="N98" i="47"/>
  <c r="F92" i="63" s="1"/>
  <c r="B353" i="61"/>
  <c r="B45" i="61"/>
  <c r="N21" i="47"/>
  <c r="F15" i="63" s="1"/>
  <c r="A15" i="63"/>
  <c r="K21" i="47"/>
  <c r="M21" i="47"/>
  <c r="AN21" i="47"/>
  <c r="Q123" i="47"/>
  <c r="AO123" i="47"/>
  <c r="A255" i="63"/>
  <c r="S123" i="47"/>
  <c r="E255" i="63" s="1"/>
  <c r="T123" i="47"/>
  <c r="F255" i="63" s="1"/>
  <c r="B454" i="61"/>
  <c r="Z125" i="47"/>
  <c r="F395" i="63" s="1"/>
  <c r="B463" i="61"/>
  <c r="AP125" i="47"/>
  <c r="Y125" i="47"/>
  <c r="E395" i="63" s="1"/>
  <c r="W125" i="47"/>
  <c r="A395" i="63"/>
  <c r="AQ88" i="47"/>
  <c r="AD88" i="47"/>
  <c r="B316" i="61"/>
  <c r="AB88" i="47"/>
  <c r="AF88" i="47"/>
  <c r="F496" i="63" s="1"/>
  <c r="AC88" i="47"/>
  <c r="A496" i="63"/>
  <c r="AE88" i="47"/>
  <c r="E496" i="63" s="1"/>
  <c r="Q92" i="47"/>
  <c r="B330" i="61"/>
  <c r="T92" i="47"/>
  <c r="F224" i="63" s="1"/>
  <c r="A224" i="63"/>
  <c r="AO92" i="47"/>
  <c r="S92" i="47"/>
  <c r="E224" i="63" s="1"/>
  <c r="W58" i="47"/>
  <c r="B195" i="61"/>
  <c r="Y58" i="47"/>
  <c r="E328" i="63" s="1"/>
  <c r="Z58" i="47"/>
  <c r="F328" i="63" s="1"/>
  <c r="A328" i="63"/>
  <c r="AP58" i="47"/>
  <c r="AD124" i="47"/>
  <c r="AE124" i="47"/>
  <c r="E532" i="63" s="1"/>
  <c r="AC124" i="47"/>
  <c r="AF124" i="47"/>
  <c r="F532" i="63" s="1"/>
  <c r="AQ124" i="47"/>
  <c r="A532" i="63"/>
  <c r="AB124" i="47"/>
  <c r="B460" i="61"/>
  <c r="A383" i="63"/>
  <c r="B415" i="61"/>
  <c r="Z113" i="47"/>
  <c r="F383" i="63" s="1"/>
  <c r="AP113" i="47"/>
  <c r="W113" i="47"/>
  <c r="Y113" i="47"/>
  <c r="E383" i="63" s="1"/>
  <c r="N44" i="47"/>
  <c r="F38" i="63" s="1"/>
  <c r="A38" i="63"/>
  <c r="M44" i="47"/>
  <c r="B137" i="61"/>
  <c r="K44" i="47"/>
  <c r="AN44" i="47"/>
  <c r="B219" i="61"/>
  <c r="AP64" i="47"/>
  <c r="Y64" i="47"/>
  <c r="E334" i="63" s="1"/>
  <c r="A334" i="63"/>
  <c r="W64" i="47"/>
  <c r="Z64" i="47"/>
  <c r="F334" i="63" s="1"/>
  <c r="A197" i="63"/>
  <c r="AO65" i="47"/>
  <c r="T65" i="47"/>
  <c r="F197" i="63" s="1"/>
  <c r="S65" i="47"/>
  <c r="E197" i="63" s="1"/>
  <c r="Q65" i="47"/>
  <c r="B222" i="61"/>
  <c r="T112" i="47"/>
  <c r="F244" i="63" s="1"/>
  <c r="S112" i="47"/>
  <c r="E244" i="63" s="1"/>
  <c r="AO112" i="47"/>
  <c r="A244" i="63"/>
  <c r="B410" i="61"/>
  <c r="Q112" i="47"/>
  <c r="A202" i="63"/>
  <c r="Q70" i="47"/>
  <c r="B242" i="61"/>
  <c r="AO70" i="47"/>
  <c r="S70" i="47"/>
  <c r="E202" i="63" s="1"/>
  <c r="T70" i="47"/>
  <c r="F202" i="63" s="1"/>
  <c r="S12" i="47"/>
  <c r="E144" i="63" s="1"/>
  <c r="B10" i="61"/>
  <c r="Q12" i="47"/>
  <c r="A144" i="63"/>
  <c r="T12" i="47"/>
  <c r="F144" i="63" s="1"/>
  <c r="AO12" i="47"/>
  <c r="N51" i="47"/>
  <c r="F45" i="63" s="1"/>
  <c r="M51" i="47"/>
  <c r="B165" i="61"/>
  <c r="A45" i="63"/>
  <c r="AN51" i="47"/>
  <c r="K51" i="47"/>
  <c r="N84" i="47"/>
  <c r="F78" i="63" s="1"/>
  <c r="K84" i="47"/>
  <c r="A78" i="63"/>
  <c r="M84" i="47"/>
  <c r="B297" i="61"/>
  <c r="AN84" i="47"/>
  <c r="S75" i="47"/>
  <c r="E207" i="63" s="1"/>
  <c r="Q75" i="47"/>
  <c r="T75" i="47"/>
  <c r="F207" i="63" s="1"/>
  <c r="B262" i="61"/>
  <c r="AO75" i="47"/>
  <c r="A207" i="63"/>
  <c r="A408" i="63"/>
  <c r="B515" i="61"/>
  <c r="Z138" i="47"/>
  <c r="F408" i="63" s="1"/>
  <c r="AP138" i="47"/>
  <c r="Y138" i="47"/>
  <c r="E408" i="63" s="1"/>
  <c r="W138" i="47"/>
  <c r="T30" i="47"/>
  <c r="F162" i="63" s="1"/>
  <c r="A162" i="63"/>
  <c r="AO30" i="47"/>
  <c r="B82" i="61"/>
  <c r="Q30" i="47"/>
  <c r="S30" i="47"/>
  <c r="E162" i="63" s="1"/>
  <c r="A262" i="63"/>
  <c r="T130" i="47"/>
  <c r="F262" i="63" s="1"/>
  <c r="Q130" i="47"/>
  <c r="AO130" i="47"/>
  <c r="S130" i="47"/>
  <c r="E262" i="63" s="1"/>
  <c r="B482" i="61"/>
  <c r="B425" i="61"/>
  <c r="AN116" i="47"/>
  <c r="K116" i="47"/>
  <c r="M116" i="47"/>
  <c r="A110" i="63"/>
  <c r="N116" i="47"/>
  <c r="F110" i="63" s="1"/>
  <c r="N70" i="47"/>
  <c r="F64" i="63" s="1"/>
  <c r="B241" i="61"/>
  <c r="AN70" i="47"/>
  <c r="K70" i="47"/>
  <c r="A64" i="63"/>
  <c r="M70" i="47"/>
  <c r="A293" i="63"/>
  <c r="B55" i="61"/>
  <c r="Y23" i="47"/>
  <c r="E293" i="63" s="1"/>
  <c r="Z23" i="47"/>
  <c r="F293" i="63" s="1"/>
  <c r="W23" i="47"/>
  <c r="AP23" i="47"/>
  <c r="W145" i="47"/>
  <c r="C415" i="63" s="1"/>
  <c r="A415" i="63"/>
  <c r="AP145" i="47"/>
  <c r="Z145" i="47"/>
  <c r="F415" i="63" s="1"/>
  <c r="Y145" i="47"/>
  <c r="E415" i="63" s="1"/>
  <c r="T113" i="47"/>
  <c r="F245" i="63" s="1"/>
  <c r="AO113" i="47"/>
  <c r="A245" i="63"/>
  <c r="B414" i="61"/>
  <c r="Q113" i="47"/>
  <c r="S113" i="47"/>
  <c r="E245" i="63" s="1"/>
  <c r="B47" i="61"/>
  <c r="AP21" i="47"/>
  <c r="Y21" i="47"/>
  <c r="E291" i="63" s="1"/>
  <c r="A291" i="63"/>
  <c r="Z21" i="47"/>
  <c r="F291" i="63" s="1"/>
  <c r="W21" i="47"/>
  <c r="AQ101" i="47"/>
  <c r="AF101" i="47"/>
  <c r="F509" i="63" s="1"/>
  <c r="AC101" i="47"/>
  <c r="B368" i="61"/>
  <c r="AD101" i="47"/>
  <c r="AB101" i="47"/>
  <c r="A509" i="63"/>
  <c r="AE101" i="47"/>
  <c r="E509" i="63" s="1"/>
  <c r="K97" i="47"/>
  <c r="A91" i="63"/>
  <c r="M97" i="47"/>
  <c r="AN97" i="47"/>
  <c r="N97" i="47"/>
  <c r="F91" i="63" s="1"/>
  <c r="B349" i="61"/>
  <c r="AQ76" i="47"/>
  <c r="AD76" i="47"/>
  <c r="AB76" i="47"/>
  <c r="AC76" i="47"/>
  <c r="B268" i="61"/>
  <c r="A484" i="63"/>
  <c r="AE76" i="47"/>
  <c r="E484" i="63" s="1"/>
  <c r="AF76" i="47"/>
  <c r="F484" i="63" s="1"/>
  <c r="A221" i="63"/>
  <c r="Q89" i="47"/>
  <c r="B318" i="61"/>
  <c r="T89" i="47"/>
  <c r="F221" i="63" s="1"/>
  <c r="AO89" i="47"/>
  <c r="S89" i="47"/>
  <c r="E221" i="63" s="1"/>
  <c r="Q49" i="47"/>
  <c r="A181" i="63"/>
  <c r="S49" i="47"/>
  <c r="E181" i="63" s="1"/>
  <c r="B158" i="61"/>
  <c r="AO49" i="47"/>
  <c r="T49" i="47"/>
  <c r="F181" i="63" s="1"/>
  <c r="AP103" i="47"/>
  <c r="B375" i="61"/>
  <c r="Y103" i="47"/>
  <c r="E373" i="63" s="1"/>
  <c r="W103" i="47"/>
  <c r="A373" i="63"/>
  <c r="Z103" i="47"/>
  <c r="F373" i="63" s="1"/>
  <c r="P18" i="47"/>
  <c r="V25" i="47"/>
  <c r="P66" i="47"/>
  <c r="P21" i="47"/>
  <c r="L35" i="47"/>
  <c r="X66" i="47"/>
  <c r="L36" i="47"/>
  <c r="J24" i="47"/>
  <c r="J60" i="47"/>
  <c r="X47" i="47"/>
  <c r="X25" i="47"/>
  <c r="J32" i="47"/>
  <c r="X69" i="47"/>
  <c r="L37" i="47"/>
  <c r="J37" i="47"/>
  <c r="P30" i="47"/>
  <c r="V65" i="47"/>
  <c r="X41" i="47"/>
  <c r="J47" i="47"/>
  <c r="V39" i="47"/>
  <c r="R38" i="47"/>
  <c r="P12" i="47"/>
  <c r="J42" i="47"/>
  <c r="V41" i="47"/>
  <c r="P15" i="47"/>
  <c r="P28" i="47"/>
  <c r="J15" i="47"/>
  <c r="L45" i="47"/>
  <c r="L69" i="47"/>
  <c r="P16" i="47"/>
  <c r="J64" i="47"/>
  <c r="L29" i="47"/>
  <c r="P67" i="47"/>
  <c r="X27" i="47"/>
  <c r="P37" i="47"/>
  <c r="V11" i="47"/>
  <c r="L16" i="47"/>
  <c r="X57" i="47"/>
  <c r="P45" i="47"/>
  <c r="J31" i="47"/>
  <c r="R47" i="47"/>
  <c r="L50" i="47"/>
  <c r="X29" i="47"/>
  <c r="J58" i="47"/>
  <c r="V48" i="47"/>
  <c r="P60" i="47"/>
  <c r="J50" i="47"/>
  <c r="P44" i="47"/>
  <c r="P62" i="47"/>
  <c r="J25" i="47"/>
  <c r="R22" i="47"/>
  <c r="P38" i="47"/>
  <c r="P58" i="47"/>
  <c r="R32" i="47"/>
  <c r="X44" i="47"/>
  <c r="X64" i="47"/>
  <c r="R50" i="47"/>
  <c r="P23" i="47"/>
  <c r="X60" i="47"/>
  <c r="X62" i="47"/>
  <c r="V63" i="47"/>
  <c r="V22" i="47"/>
  <c r="P49" i="47"/>
  <c r="J33" i="47"/>
  <c r="V15" i="47"/>
  <c r="L28" i="47"/>
  <c r="X22" i="47"/>
  <c r="V42" i="47"/>
  <c r="R14" i="47"/>
  <c r="R40" i="47"/>
  <c r="X49" i="47"/>
  <c r="V23" i="47"/>
  <c r="R13" i="47"/>
  <c r="L54" i="47"/>
  <c r="P19" i="47"/>
  <c r="L19" i="47"/>
  <c r="L13" i="47"/>
  <c r="R19" i="47"/>
  <c r="V50" i="47"/>
  <c r="J54" i="47"/>
  <c r="J39" i="47"/>
  <c r="L63" i="47"/>
  <c r="J57" i="47"/>
  <c r="J67" i="47"/>
  <c r="X34" i="47"/>
  <c r="L20" i="47"/>
  <c r="L18" i="47"/>
  <c r="L32" i="47"/>
  <c r="J46" i="47"/>
  <c r="V32" i="47"/>
  <c r="P25" i="47"/>
  <c r="V28" i="47"/>
  <c r="L66" i="47"/>
  <c r="R21" i="47"/>
  <c r="V31" i="47"/>
  <c r="V67" i="47"/>
  <c r="X45" i="47"/>
  <c r="J66" i="47"/>
  <c r="R24" i="47"/>
  <c r="P65" i="47"/>
  <c r="J48" i="47"/>
  <c r="V46" i="47"/>
  <c r="R60" i="47"/>
  <c r="V17" i="47"/>
  <c r="X18" i="47"/>
  <c r="X17" i="47"/>
  <c r="V43" i="47"/>
  <c r="L11" i="47"/>
  <c r="L34" i="47"/>
  <c r="J49" i="47"/>
  <c r="V69" i="47"/>
  <c r="R31" i="47"/>
  <c r="R48" i="47"/>
  <c r="X28" i="47"/>
  <c r="V38" i="47"/>
  <c r="L14" i="47"/>
  <c r="L46" i="47"/>
  <c r="R56" i="47"/>
  <c r="X58" i="47"/>
  <c r="V26" i="47"/>
  <c r="X55" i="47"/>
  <c r="J30" i="47"/>
  <c r="R18" i="47"/>
  <c r="R52" i="47"/>
  <c r="R28" i="47"/>
  <c r="J23" i="47"/>
  <c r="R25" i="47"/>
  <c r="V53" i="47"/>
  <c r="P47" i="47"/>
  <c r="L42" i="47"/>
  <c r="R15" i="47"/>
  <c r="P29" i="47"/>
  <c r="R30" i="47"/>
  <c r="L15" i="47"/>
  <c r="X53" i="47"/>
  <c r="V12" i="47"/>
  <c r="X37" i="47"/>
  <c r="V40" i="47"/>
  <c r="P17" i="47"/>
  <c r="R16" i="47"/>
  <c r="L64" i="47"/>
  <c r="R29" i="47"/>
  <c r="V20" i="47"/>
  <c r="P42" i="47"/>
  <c r="J45" i="47"/>
  <c r="P69" i="47"/>
  <c r="R51" i="47"/>
  <c r="X67" i="47"/>
  <c r="P41" i="47"/>
  <c r="P51" i="47"/>
  <c r="J11" i="47"/>
  <c r="R59" i="47"/>
  <c r="L58" i="47"/>
  <c r="L12" i="47"/>
  <c r="P34" i="47"/>
  <c r="R42" i="47"/>
  <c r="X59" i="47"/>
  <c r="X68" i="47"/>
  <c r="L27" i="47"/>
  <c r="J12" i="47"/>
  <c r="R44" i="47"/>
  <c r="R64" i="47"/>
  <c r="L68" i="47"/>
  <c r="V59" i="47"/>
  <c r="R27" i="47"/>
  <c r="V35" i="47"/>
  <c r="J16" i="47"/>
  <c r="J51" i="47"/>
  <c r="R68" i="47"/>
  <c r="J28" i="47"/>
  <c r="V19" i="47"/>
  <c r="X19" i="47"/>
  <c r="P40" i="47"/>
  <c r="L33" i="47"/>
  <c r="J62" i="47"/>
  <c r="P68" i="47"/>
  <c r="X23" i="47"/>
  <c r="X21" i="47"/>
  <c r="J22" i="47"/>
  <c r="L21" i="47"/>
  <c r="V13" i="47"/>
  <c r="X54" i="47"/>
  <c r="V51" i="47"/>
  <c r="L43" i="47"/>
  <c r="V30" i="47"/>
  <c r="J19" i="47"/>
  <c r="X61" i="47"/>
  <c r="V49" i="47"/>
  <c r="R26" i="47"/>
  <c r="R61" i="47"/>
  <c r="J21" i="47"/>
  <c r="J52" i="47"/>
  <c r="P63" i="47"/>
  <c r="R46" i="47"/>
  <c r="L39" i="47"/>
  <c r="X46" i="47"/>
  <c r="R20" i="47"/>
  <c r="P54" i="47"/>
  <c r="J14" i="47"/>
  <c r="V58" i="47"/>
  <c r="P20" i="47"/>
  <c r="P52" i="47"/>
  <c r="V56" i="47"/>
  <c r="L47" i="47"/>
  <c r="L25" i="47"/>
  <c r="L59" i="47"/>
  <c r="V47" i="47"/>
  <c r="L24" i="47"/>
  <c r="P31" i="47"/>
  <c r="X12" i="47"/>
  <c r="X24" i="47"/>
  <c r="X40" i="47"/>
  <c r="L67" i="47"/>
  <c r="R37" i="47"/>
  <c r="P14" i="47"/>
  <c r="P36" i="47"/>
  <c r="V52" i="47"/>
  <c r="J61" i="47"/>
  <c r="V54" i="47"/>
  <c r="J18" i="47"/>
  <c r="J55" i="47"/>
  <c r="J20" i="47"/>
  <c r="J35" i="47"/>
  <c r="V24" i="47"/>
  <c r="L23" i="47"/>
  <c r="J65" i="47"/>
  <c r="R12" i="47"/>
  <c r="P57" i="47"/>
  <c r="R41" i="47"/>
  <c r="X43" i="47"/>
  <c r="R62" i="47"/>
  <c r="P33" i="47"/>
  <c r="J34" i="47"/>
  <c r="J38" i="47"/>
  <c r="J17" i="47"/>
  <c r="X11" i="47"/>
  <c r="J29" i="47"/>
  <c r="X56" i="47"/>
  <c r="P64" i="47"/>
  <c r="X63" i="47"/>
  <c r="J53" i="47"/>
  <c r="L56" i="47"/>
  <c r="X33" i="47"/>
  <c r="X35" i="47"/>
  <c r="R57" i="47"/>
  <c r="V62" i="47"/>
  <c r="L55" i="47"/>
  <c r="X51" i="47"/>
  <c r="X42" i="47"/>
  <c r="X48" i="47"/>
  <c r="P22" i="47"/>
  <c r="V16" i="47"/>
  <c r="L52" i="47"/>
  <c r="L41" i="47"/>
  <c r="P24" i="47"/>
  <c r="X38" i="47"/>
  <c r="X26" i="47"/>
  <c r="J44" i="47"/>
  <c r="P55" i="47"/>
  <c r="R63" i="47"/>
  <c r="L40" i="47"/>
  <c r="L65" i="47"/>
  <c r="L44" i="47"/>
  <c r="P43" i="47"/>
  <c r="V37" i="47"/>
  <c r="R43" i="47"/>
  <c r="P59" i="47"/>
  <c r="L26" i="47"/>
  <c r="L31" i="47"/>
  <c r="V68" i="47"/>
  <c r="L49" i="47"/>
  <c r="J68" i="47"/>
  <c r="R39" i="47"/>
  <c r="X31" i="47"/>
  <c r="L17" i="47"/>
  <c r="V36" i="47"/>
  <c r="L53" i="47"/>
  <c r="L22" i="47"/>
  <c r="P32" i="47"/>
  <c r="R34" i="47"/>
  <c r="V64" i="47"/>
  <c r="L62" i="47"/>
  <c r="V14" i="47"/>
  <c r="P13" i="47"/>
  <c r="P11" i="47"/>
  <c r="X14" i="47"/>
  <c r="J36" i="47"/>
  <c r="X50" i="47"/>
  <c r="V21" i="47"/>
  <c r="X32" i="47"/>
  <c r="J59" i="47"/>
  <c r="R53" i="47"/>
  <c r="P48" i="47"/>
  <c r="R11" i="47"/>
  <c r="P53" i="47"/>
  <c r="V66" i="47"/>
  <c r="R65" i="47"/>
  <c r="L48" i="47"/>
  <c r="P61" i="47"/>
  <c r="L60" i="47"/>
  <c r="J40" i="47"/>
  <c r="X13" i="47"/>
  <c r="P35" i="47"/>
  <c r="P27" i="47"/>
  <c r="X30" i="47"/>
  <c r="R67" i="47"/>
  <c r="P39" i="47"/>
  <c r="R17" i="47"/>
  <c r="R35" i="47"/>
  <c r="V27" i="47"/>
  <c r="V29" i="47"/>
  <c r="R23" i="47"/>
  <c r="R36" i="47"/>
  <c r="L61" i="47"/>
  <c r="L30" i="47"/>
  <c r="X15" i="47"/>
  <c r="R45" i="47"/>
  <c r="L51" i="47"/>
  <c r="V33" i="47"/>
  <c r="J56" i="47"/>
  <c r="V44" i="47"/>
  <c r="R54" i="47"/>
  <c r="X20" i="47"/>
  <c r="P26" i="47"/>
  <c r="X16" i="47"/>
  <c r="J26" i="47"/>
  <c r="V61" i="47"/>
  <c r="R49" i="47"/>
  <c r="V45" i="47"/>
  <c r="X39" i="47"/>
  <c r="V34" i="47"/>
  <c r="R66" i="47"/>
  <c r="X65" i="47"/>
  <c r="R55" i="47"/>
  <c r="V55" i="47"/>
  <c r="V18" i="47"/>
  <c r="R69" i="47"/>
  <c r="R33" i="47"/>
  <c r="J69" i="47"/>
  <c r="V57" i="47"/>
  <c r="J27" i="47"/>
  <c r="P50" i="47"/>
  <c r="R58" i="47"/>
  <c r="J13" i="47"/>
  <c r="L38" i="47"/>
  <c r="X36" i="47"/>
  <c r="X52" i="47"/>
  <c r="J41" i="47"/>
  <c r="V60" i="47"/>
  <c r="J43" i="47"/>
  <c r="L57" i="47"/>
  <c r="P46" i="47"/>
  <c r="J63" i="47"/>
  <c r="P56" i="47"/>
  <c r="R89" i="47"/>
  <c r="X74" i="47"/>
  <c r="L86" i="47"/>
  <c r="V115" i="47"/>
  <c r="J143" i="47"/>
  <c r="R87" i="47"/>
  <c r="R78" i="47"/>
  <c r="L91" i="47"/>
  <c r="V135" i="47"/>
  <c r="V110" i="47"/>
  <c r="V75" i="47"/>
  <c r="X96" i="47"/>
  <c r="X110" i="47"/>
  <c r="L127" i="47"/>
  <c r="X86" i="47"/>
  <c r="P146" i="47"/>
  <c r="P112" i="47"/>
  <c r="V72" i="47"/>
  <c r="X130" i="47"/>
  <c r="R92" i="47"/>
  <c r="R88" i="47"/>
  <c r="L104" i="47"/>
  <c r="J125" i="47"/>
  <c r="R135" i="47"/>
  <c r="R93" i="47"/>
  <c r="P77" i="47"/>
  <c r="R70" i="47"/>
  <c r="J140" i="47"/>
  <c r="P71" i="47"/>
  <c r="P99" i="47"/>
  <c r="P137" i="47"/>
  <c r="V104" i="47"/>
  <c r="V91" i="47"/>
  <c r="J133" i="47"/>
  <c r="P98" i="47"/>
  <c r="P129" i="47"/>
  <c r="P92" i="47"/>
  <c r="V71" i="47"/>
  <c r="J89" i="47"/>
  <c r="J148" i="47"/>
  <c r="V132" i="47"/>
  <c r="X106" i="47"/>
  <c r="R83" i="47"/>
  <c r="J102" i="47"/>
  <c r="X81" i="47"/>
  <c r="X77" i="47"/>
  <c r="V124" i="47"/>
  <c r="R71" i="47"/>
  <c r="P86" i="47"/>
  <c r="X124" i="47"/>
  <c r="L77" i="47"/>
  <c r="R101" i="47"/>
  <c r="L148" i="47"/>
  <c r="R144" i="47"/>
  <c r="X136" i="47"/>
  <c r="J73" i="47"/>
  <c r="P90" i="47"/>
  <c r="V108" i="47"/>
  <c r="P128" i="47"/>
  <c r="L72" i="47"/>
  <c r="L83" i="47"/>
  <c r="L70" i="47"/>
  <c r="J75" i="47"/>
  <c r="R108" i="47"/>
  <c r="J82" i="47"/>
  <c r="V99" i="47"/>
  <c r="J130" i="47"/>
  <c r="V120" i="47"/>
  <c r="X112" i="47"/>
  <c r="V131" i="47"/>
  <c r="X109" i="47"/>
  <c r="X114" i="47"/>
  <c r="X71" i="47"/>
  <c r="J122" i="47"/>
  <c r="P70" i="47"/>
  <c r="P130" i="47"/>
  <c r="P135" i="47"/>
  <c r="V113" i="47"/>
  <c r="X102" i="47"/>
  <c r="P118" i="47"/>
  <c r="R73" i="47"/>
  <c r="X141" i="47"/>
  <c r="V145" i="47"/>
  <c r="J136" i="47"/>
  <c r="X93" i="47"/>
  <c r="J77" i="47"/>
  <c r="R124" i="47"/>
  <c r="J99" i="47"/>
  <c r="V95" i="47"/>
  <c r="L139" i="47"/>
  <c r="V142" i="47"/>
  <c r="X87" i="47"/>
  <c r="X122" i="47"/>
  <c r="P144" i="47"/>
  <c r="X144" i="47"/>
  <c r="V70" i="47"/>
  <c r="L97" i="47"/>
  <c r="P125" i="47"/>
  <c r="L136" i="47"/>
  <c r="V111" i="47"/>
  <c r="X80" i="47"/>
  <c r="J109" i="47"/>
  <c r="V102" i="47"/>
  <c r="V94" i="47"/>
  <c r="V140" i="47"/>
  <c r="J139" i="47"/>
  <c r="X100" i="47"/>
  <c r="P145" i="47"/>
  <c r="P89" i="47"/>
  <c r="V73" i="47"/>
  <c r="J80" i="47"/>
  <c r="J93" i="47"/>
  <c r="V123" i="47"/>
  <c r="V116" i="47"/>
  <c r="V127" i="47"/>
  <c r="L111" i="47"/>
  <c r="J119" i="47"/>
  <c r="V121" i="47"/>
  <c r="X135" i="47"/>
  <c r="X89" i="47"/>
  <c r="P114" i="47"/>
  <c r="L131" i="47"/>
  <c r="R129" i="47"/>
  <c r="V138" i="47"/>
  <c r="L130" i="47"/>
  <c r="L115" i="47"/>
  <c r="R75" i="47"/>
  <c r="X125" i="47"/>
  <c r="J107" i="47"/>
  <c r="X78" i="47"/>
  <c r="V90" i="47"/>
  <c r="L79" i="47"/>
  <c r="X134" i="47"/>
  <c r="P94" i="47"/>
  <c r="V78" i="47"/>
  <c r="P103" i="47"/>
  <c r="L102" i="47"/>
  <c r="P95" i="47"/>
  <c r="X118" i="47"/>
  <c r="V81" i="47"/>
  <c r="X107" i="47"/>
  <c r="V125" i="47"/>
  <c r="R133" i="47"/>
  <c r="L85" i="47"/>
  <c r="L93" i="47"/>
  <c r="P109" i="47"/>
  <c r="X103" i="47"/>
  <c r="P141" i="47"/>
  <c r="J84" i="47"/>
  <c r="P143" i="47"/>
  <c r="R110" i="47"/>
  <c r="X104" i="47"/>
  <c r="X101" i="47"/>
  <c r="L88" i="47"/>
  <c r="P115" i="47"/>
  <c r="V82" i="47"/>
  <c r="J117" i="47"/>
  <c r="J113" i="47"/>
  <c r="V136" i="47"/>
  <c r="P78" i="47"/>
  <c r="V139" i="47"/>
  <c r="X108" i="47"/>
  <c r="J115" i="47"/>
  <c r="V88" i="47"/>
  <c r="X84" i="47"/>
  <c r="J88" i="47"/>
  <c r="P134" i="47"/>
  <c r="L100" i="47"/>
  <c r="P124" i="47"/>
  <c r="L98" i="47"/>
  <c r="P136" i="47"/>
  <c r="X123" i="47"/>
  <c r="V112" i="47"/>
  <c r="J94" i="47"/>
  <c r="L82" i="47"/>
  <c r="L126" i="47"/>
  <c r="J103" i="47"/>
  <c r="P117" i="47"/>
  <c r="P108" i="47"/>
  <c r="R91" i="47"/>
  <c r="R96" i="47"/>
  <c r="P83" i="47"/>
  <c r="P110" i="47"/>
  <c r="V114" i="47"/>
  <c r="J91" i="47"/>
  <c r="L113" i="47"/>
  <c r="V92" i="47"/>
  <c r="X113" i="47"/>
  <c r="L76" i="47"/>
  <c r="L138" i="47"/>
  <c r="R82" i="47"/>
  <c r="P139" i="47"/>
  <c r="J101" i="47"/>
  <c r="X111" i="47"/>
  <c r="R103" i="47"/>
  <c r="X132" i="47"/>
  <c r="L137" i="47"/>
  <c r="X129" i="47"/>
  <c r="L108" i="47"/>
  <c r="R107" i="47"/>
  <c r="L145" i="47"/>
  <c r="P142" i="47"/>
  <c r="X117" i="47"/>
  <c r="P106" i="47"/>
  <c r="J114" i="47"/>
  <c r="X70" i="47"/>
  <c r="R113" i="47"/>
  <c r="R122" i="47"/>
  <c r="V85" i="47"/>
  <c r="J96" i="47"/>
  <c r="L75" i="47"/>
  <c r="R94" i="47"/>
  <c r="R72" i="47"/>
  <c r="J79" i="47"/>
  <c r="P104" i="47"/>
  <c r="X127" i="47"/>
  <c r="R119" i="47"/>
  <c r="J144" i="47"/>
  <c r="L89" i="47"/>
  <c r="V74" i="47"/>
  <c r="X76" i="47"/>
  <c r="V105" i="47"/>
  <c r="J98" i="47"/>
  <c r="J108" i="47"/>
  <c r="L114" i="47"/>
  <c r="R106" i="47"/>
  <c r="X146" i="47"/>
  <c r="J141" i="47"/>
  <c r="R121" i="47"/>
  <c r="J129" i="47"/>
  <c r="L101" i="47"/>
  <c r="J87" i="47"/>
  <c r="R98" i="47"/>
  <c r="X90" i="47"/>
  <c r="L105" i="47"/>
  <c r="L132" i="47"/>
  <c r="R125" i="47"/>
  <c r="J71" i="47"/>
  <c r="J135" i="47"/>
  <c r="X115" i="47"/>
  <c r="X98" i="47"/>
  <c r="J118" i="47"/>
  <c r="R118" i="47"/>
  <c r="R90" i="47"/>
  <c r="L107" i="47"/>
  <c r="R74" i="47"/>
  <c r="J132" i="47"/>
  <c r="P91" i="47"/>
  <c r="V100" i="47"/>
  <c r="L140" i="47"/>
  <c r="P81" i="47"/>
  <c r="V87" i="47"/>
  <c r="J70" i="47"/>
  <c r="L123" i="47"/>
  <c r="X128" i="47"/>
  <c r="L135" i="47"/>
  <c r="J138" i="47"/>
  <c r="R137" i="47"/>
  <c r="X121" i="47"/>
  <c r="P73" i="47"/>
  <c r="P121" i="47"/>
  <c r="L81" i="47"/>
  <c r="L84" i="47"/>
  <c r="J90" i="47"/>
  <c r="P111" i="47"/>
  <c r="P80" i="47"/>
  <c r="R80" i="47"/>
  <c r="R128" i="47"/>
  <c r="L112" i="47"/>
  <c r="L96" i="47"/>
  <c r="X79" i="47"/>
  <c r="J104" i="47"/>
  <c r="V134" i="47"/>
  <c r="R85" i="47"/>
  <c r="J112" i="47"/>
  <c r="J97" i="47"/>
  <c r="R109" i="47"/>
  <c r="J124" i="47"/>
  <c r="V103" i="47"/>
  <c r="P72" i="47"/>
  <c r="P84" i="47"/>
  <c r="R136" i="47"/>
  <c r="P122" i="47"/>
  <c r="P113" i="47"/>
  <c r="P147" i="47"/>
  <c r="X137" i="47"/>
  <c r="V117" i="47"/>
  <c r="V146" i="47"/>
  <c r="L103" i="47"/>
  <c r="L134" i="47"/>
  <c r="L122" i="47"/>
  <c r="V129" i="47"/>
  <c r="P79" i="47"/>
  <c r="V130" i="47"/>
  <c r="V107" i="47"/>
  <c r="R138" i="47"/>
  <c r="X120" i="47"/>
  <c r="J100" i="47"/>
  <c r="P132" i="47"/>
  <c r="R116" i="47"/>
  <c r="X72" i="47"/>
  <c r="J110" i="47"/>
  <c r="R84" i="47"/>
  <c r="L119" i="47"/>
  <c r="R147" i="47"/>
  <c r="L74" i="47"/>
  <c r="R148" i="47"/>
  <c r="J86" i="47"/>
  <c r="R104" i="47"/>
  <c r="X145" i="47"/>
  <c r="L94" i="47"/>
  <c r="J83" i="47"/>
  <c r="P88" i="47"/>
  <c r="L73" i="47"/>
  <c r="R99" i="47"/>
  <c r="V126" i="47"/>
  <c r="X148" i="47"/>
  <c r="V106" i="47"/>
  <c r="X82" i="47"/>
  <c r="P131" i="47"/>
  <c r="L128" i="47"/>
  <c r="R132" i="47"/>
  <c r="L109" i="47"/>
  <c r="V118" i="47"/>
  <c r="J131" i="47"/>
  <c r="R100" i="47"/>
  <c r="R97" i="47"/>
  <c r="L92" i="47"/>
  <c r="J81" i="47"/>
  <c r="X88" i="47"/>
  <c r="P119" i="47"/>
  <c r="V97" i="47"/>
  <c r="R115" i="47"/>
  <c r="V96" i="47"/>
  <c r="L146" i="47"/>
  <c r="V144" i="47"/>
  <c r="J116" i="47"/>
  <c r="R77" i="47"/>
  <c r="J146" i="47"/>
  <c r="R143" i="47"/>
  <c r="V76" i="47"/>
  <c r="R145" i="47"/>
  <c r="J127" i="47"/>
  <c r="J145" i="47"/>
  <c r="P102" i="47"/>
  <c r="V98" i="47"/>
  <c r="P87" i="47"/>
  <c r="L121" i="47"/>
  <c r="X83" i="47"/>
  <c r="L95" i="47"/>
  <c r="R139" i="47"/>
  <c r="R81" i="47"/>
  <c r="X147" i="47"/>
  <c r="P74" i="47"/>
  <c r="P133" i="47"/>
  <c r="R131" i="47"/>
  <c r="J137" i="47"/>
  <c r="L80" i="47"/>
  <c r="X140" i="47"/>
  <c r="L117" i="47"/>
  <c r="R105" i="47"/>
  <c r="R134" i="47"/>
  <c r="X95" i="47"/>
  <c r="V133" i="47"/>
  <c r="P120" i="47"/>
  <c r="L147" i="47"/>
  <c r="P101" i="47"/>
  <c r="V109" i="47"/>
  <c r="P148" i="47"/>
  <c r="R95" i="47"/>
  <c r="R123" i="47"/>
  <c r="R102" i="47"/>
  <c r="P105" i="47"/>
  <c r="J105" i="47"/>
  <c r="V89" i="47"/>
  <c r="P82" i="47"/>
  <c r="L143" i="47"/>
  <c r="L142" i="47"/>
  <c r="X138" i="47"/>
  <c r="V83" i="47"/>
  <c r="J78" i="47"/>
  <c r="R117" i="47"/>
  <c r="V147" i="47"/>
  <c r="L110" i="47"/>
  <c r="X94" i="47"/>
  <c r="V143" i="47"/>
  <c r="V148" i="47"/>
  <c r="P97" i="47"/>
  <c r="L124" i="47"/>
  <c r="L118" i="47"/>
  <c r="P138" i="47"/>
  <c r="J121" i="47"/>
  <c r="J95" i="47"/>
  <c r="X91" i="47"/>
  <c r="V79" i="47"/>
  <c r="X97" i="47"/>
  <c r="P123" i="47"/>
  <c r="J128" i="47"/>
  <c r="L90" i="47"/>
  <c r="P76" i="47"/>
  <c r="P107" i="47"/>
  <c r="J120" i="47"/>
  <c r="P127" i="47"/>
  <c r="L71" i="47"/>
  <c r="X92" i="47"/>
  <c r="J111" i="47"/>
  <c r="L129" i="47"/>
  <c r="J85" i="47"/>
  <c r="V101" i="47"/>
  <c r="L120" i="47"/>
  <c r="R86" i="47"/>
  <c r="J142" i="47"/>
  <c r="X139" i="47"/>
  <c r="V137" i="47"/>
  <c r="P126" i="47"/>
  <c r="P116" i="47"/>
  <c r="R79" i="47"/>
  <c r="X142" i="47"/>
  <c r="X75" i="47"/>
  <c r="V141" i="47"/>
  <c r="V84" i="47"/>
  <c r="R120" i="47"/>
  <c r="P75" i="47"/>
  <c r="X119" i="47"/>
  <c r="P85" i="47"/>
  <c r="R142" i="47"/>
  <c r="X131" i="47"/>
  <c r="X116" i="47"/>
  <c r="X85" i="47"/>
  <c r="V86" i="47"/>
  <c r="R111" i="47"/>
  <c r="V128" i="47"/>
  <c r="V119" i="47"/>
  <c r="P100" i="47"/>
  <c r="P93" i="47"/>
  <c r="V77" i="47"/>
  <c r="J123" i="47"/>
  <c r="R126" i="47"/>
  <c r="J126" i="47"/>
  <c r="R140" i="47"/>
  <c r="R141" i="47"/>
  <c r="L141" i="47"/>
  <c r="J147" i="47"/>
  <c r="L125" i="47"/>
  <c r="R146" i="47"/>
  <c r="R127" i="47"/>
  <c r="R130" i="47"/>
  <c r="J106" i="47"/>
  <c r="L99" i="47"/>
  <c r="V122" i="47"/>
  <c r="L133" i="47"/>
  <c r="V93" i="47"/>
  <c r="X99" i="47"/>
  <c r="J76" i="47"/>
  <c r="L78" i="47"/>
  <c r="L87" i="47"/>
  <c r="R112" i="47"/>
  <c r="L116" i="47"/>
  <c r="L106" i="47"/>
  <c r="J92" i="47"/>
  <c r="L144" i="47"/>
  <c r="X126" i="47"/>
  <c r="R114" i="47"/>
  <c r="X133" i="47"/>
  <c r="V80" i="47"/>
  <c r="P96" i="47"/>
  <c r="R76" i="47"/>
  <c r="J72" i="47"/>
  <c r="X105" i="47"/>
  <c r="X143" i="47"/>
  <c r="X73" i="47"/>
  <c r="J74" i="47"/>
  <c r="J134" i="47"/>
  <c r="P140" i="47"/>
  <c r="D166" i="15" l="1"/>
  <c r="K166" i="15" s="1"/>
  <c r="B12" i="90"/>
  <c r="B168" i="15" s="1"/>
  <c r="B115" i="50"/>
  <c r="A115" i="50"/>
  <c r="A78" i="50"/>
  <c r="B78" i="50"/>
  <c r="B12" i="94"/>
  <c r="B144" i="15" s="1"/>
  <c r="D142" i="15"/>
  <c r="K142" i="15" s="1"/>
  <c r="B123" i="50"/>
  <c r="A123" i="50"/>
  <c r="B116" i="50"/>
  <c r="A116" i="50"/>
  <c r="A102" i="50"/>
  <c r="B102" i="50"/>
  <c r="A113" i="50"/>
  <c r="B113" i="50"/>
  <c r="B12" i="92"/>
  <c r="B156" i="15" s="1"/>
  <c r="D154" i="15"/>
  <c r="K154" i="15" s="1"/>
  <c r="B107" i="50"/>
  <c r="A107" i="50"/>
  <c r="A111" i="50"/>
  <c r="B111" i="50"/>
  <c r="B83" i="50"/>
  <c r="A83" i="50"/>
  <c r="B114" i="50"/>
  <c r="A114" i="50"/>
  <c r="B74" i="50"/>
  <c r="B99" i="50"/>
  <c r="A99" i="50"/>
  <c r="A76" i="50"/>
  <c r="B76" i="50"/>
  <c r="B12" i="88"/>
  <c r="B180" i="15" s="1"/>
  <c r="D178" i="15"/>
  <c r="K178" i="15" s="1"/>
  <c r="B128" i="50"/>
  <c r="A128" i="50"/>
  <c r="B127" i="50"/>
  <c r="A127" i="50"/>
  <c r="B77" i="50"/>
  <c r="A82" i="50"/>
  <c r="B82" i="50"/>
  <c r="A121" i="50"/>
  <c r="B121" i="50"/>
  <c r="A67" i="50"/>
  <c r="B67" i="50"/>
  <c r="AR51" i="47"/>
  <c r="AR26" i="47"/>
  <c r="AR106" i="47"/>
  <c r="AR118" i="47"/>
  <c r="AR97" i="47"/>
  <c r="AR105" i="47"/>
  <c r="E1" i="15"/>
  <c r="E2" i="61"/>
  <c r="AR44" i="47"/>
  <c r="B81" i="50"/>
  <c r="A81" i="50"/>
  <c r="AR96" i="47"/>
  <c r="B73" i="50"/>
  <c r="A73" i="50"/>
  <c r="AR71" i="47"/>
  <c r="AR83" i="47"/>
  <c r="AR110" i="47"/>
  <c r="D106" i="15"/>
  <c r="K106" i="15" s="1"/>
  <c r="B12" i="100"/>
  <c r="B108" i="15" s="1"/>
  <c r="B72" i="50"/>
  <c r="A72" i="50"/>
  <c r="A97" i="50"/>
  <c r="B97" i="50"/>
  <c r="B2" i="61"/>
  <c r="B1" i="15"/>
  <c r="B2" i="63"/>
  <c r="AR116" i="47"/>
  <c r="AR98" i="47"/>
  <c r="AR102" i="47"/>
  <c r="AR131" i="47"/>
  <c r="AR108" i="47"/>
  <c r="AR32" i="47"/>
  <c r="AR72" i="47"/>
  <c r="A71" i="50"/>
  <c r="B71" i="50"/>
  <c r="B96" i="50"/>
  <c r="A96" i="50"/>
  <c r="AR141" i="47"/>
  <c r="AR14" i="47"/>
  <c r="AR21" i="47"/>
  <c r="AR132" i="47"/>
  <c r="AR78" i="47"/>
  <c r="AR47" i="47"/>
  <c r="AR84" i="47"/>
  <c r="AR41" i="47"/>
  <c r="AR124" i="47"/>
  <c r="AR89" i="47"/>
  <c r="AR119" i="47"/>
  <c r="AR33" i="47"/>
  <c r="AR147" i="47"/>
  <c r="AR143" i="47"/>
  <c r="AR37" i="47"/>
  <c r="AR109" i="47"/>
  <c r="AR17" i="47"/>
  <c r="E262" i="61"/>
  <c r="D207" i="63"/>
  <c r="C231" i="61"/>
  <c r="B337" i="63"/>
  <c r="A44" i="47"/>
  <c r="B38" i="63"/>
  <c r="C137" i="61"/>
  <c r="B294" i="63"/>
  <c r="C59" i="61"/>
  <c r="D415" i="63"/>
  <c r="A116" i="47"/>
  <c r="B110" i="63"/>
  <c r="C425" i="61"/>
  <c r="D78" i="63"/>
  <c r="E297" i="61"/>
  <c r="D197" i="63"/>
  <c r="E222" i="61"/>
  <c r="C195" i="61"/>
  <c r="B328" i="63"/>
  <c r="B377" i="63"/>
  <c r="C391" i="61"/>
  <c r="E478" i="61"/>
  <c r="D261" i="63"/>
  <c r="B188" i="63"/>
  <c r="C186" i="61"/>
  <c r="D100" i="63"/>
  <c r="E385" i="61"/>
  <c r="E327" i="61"/>
  <c r="D361" i="63"/>
  <c r="B232" i="63"/>
  <c r="C362" i="61"/>
  <c r="B336" i="63"/>
  <c r="C227" i="61"/>
  <c r="B266" i="63"/>
  <c r="C498" i="61"/>
  <c r="B301" i="63"/>
  <c r="C87" i="61"/>
  <c r="B85" i="63"/>
  <c r="C325" i="61"/>
  <c r="A91" i="47"/>
  <c r="B29" i="63"/>
  <c r="A35" i="47"/>
  <c r="C101" i="61"/>
  <c r="A14" i="47"/>
  <c r="C17" i="61"/>
  <c r="B8" i="63"/>
  <c r="E46" i="61"/>
  <c r="D153" i="63"/>
  <c r="C279" i="61"/>
  <c r="B349" i="63"/>
  <c r="B185" i="63"/>
  <c r="C174" i="61"/>
  <c r="B277" i="63"/>
  <c r="B372" i="63"/>
  <c r="C371" i="61"/>
  <c r="E67" i="61"/>
  <c r="D296" i="63"/>
  <c r="B95" i="63"/>
  <c r="A101" i="47"/>
  <c r="C365" i="61"/>
  <c r="C178" i="61"/>
  <c r="B186" i="63"/>
  <c r="E334" i="61"/>
  <c r="D225" i="63"/>
  <c r="D198" i="63"/>
  <c r="E226" i="61"/>
  <c r="D143" i="63"/>
  <c r="E6" i="61"/>
  <c r="C439" i="61"/>
  <c r="B389" i="63"/>
  <c r="E225" i="61"/>
  <c r="D60" i="63"/>
  <c r="D308" i="63"/>
  <c r="E115" i="61"/>
  <c r="C403" i="61"/>
  <c r="B380" i="63"/>
  <c r="B210" i="63"/>
  <c r="C274" i="61"/>
  <c r="B236" i="63"/>
  <c r="C378" i="61"/>
  <c r="C503" i="61"/>
  <c r="B405" i="63"/>
  <c r="C358" i="61"/>
  <c r="B231" i="63"/>
  <c r="D152" i="63"/>
  <c r="E42" i="61"/>
  <c r="C75" i="61"/>
  <c r="B298" i="63"/>
  <c r="E289" i="61"/>
  <c r="D76" i="63"/>
  <c r="C470" i="61"/>
  <c r="B259" i="63"/>
  <c r="D316" i="63"/>
  <c r="E147" i="61"/>
  <c r="C62" i="61"/>
  <c r="B157" i="63"/>
  <c r="B107" i="63"/>
  <c r="C413" i="61"/>
  <c r="A113" i="47"/>
  <c r="C154" i="61"/>
  <c r="B180" i="63"/>
  <c r="D33" i="63"/>
  <c r="E117" i="61"/>
  <c r="C91" i="61"/>
  <c r="B302" i="63"/>
  <c r="C263" i="61"/>
  <c r="B345" i="63"/>
  <c r="B14" i="63"/>
  <c r="C41" i="61"/>
  <c r="A20" i="47"/>
  <c r="E391" i="61"/>
  <c r="D377" i="63"/>
  <c r="D367" i="63"/>
  <c r="E351" i="61"/>
  <c r="C99" i="61"/>
  <c r="B304" i="63"/>
  <c r="B261" i="63"/>
  <c r="C478" i="61"/>
  <c r="E146" i="61"/>
  <c r="D178" i="63"/>
  <c r="C145" i="61"/>
  <c r="A46" i="47"/>
  <c r="B40" i="63"/>
  <c r="B156" i="63"/>
  <c r="C58" i="61"/>
  <c r="B362" i="63"/>
  <c r="C331" i="61"/>
  <c r="C214" i="61"/>
  <c r="B195" i="63"/>
  <c r="E279" i="61"/>
  <c r="D349" i="63"/>
  <c r="D309" i="63"/>
  <c r="E119" i="61"/>
  <c r="D185" i="63"/>
  <c r="E174" i="61"/>
  <c r="D277" i="63"/>
  <c r="E89" i="61"/>
  <c r="D26" i="63"/>
  <c r="E421" i="61"/>
  <c r="D109" i="63"/>
  <c r="B225" i="63"/>
  <c r="C334" i="61"/>
  <c r="B89" i="63"/>
  <c r="A95" i="47"/>
  <c r="C341" i="61"/>
  <c r="E33" i="61"/>
  <c r="D12" i="63"/>
  <c r="E439" i="61"/>
  <c r="D389" i="63"/>
  <c r="B53" i="63"/>
  <c r="A59" i="47"/>
  <c r="C197" i="61"/>
  <c r="C493" i="61"/>
  <c r="B127" i="63"/>
  <c r="A133" i="47"/>
  <c r="C319" i="61"/>
  <c r="B359" i="63"/>
  <c r="D116" i="63"/>
  <c r="E449" i="61"/>
  <c r="B57" i="63"/>
  <c r="C213" i="61"/>
  <c r="A63" i="47"/>
  <c r="A52" i="47"/>
  <c r="C169" i="61"/>
  <c r="B46" i="63"/>
  <c r="B229" i="63"/>
  <c r="C350" i="61"/>
  <c r="C143" i="61"/>
  <c r="B315" i="63"/>
  <c r="D302" i="63"/>
  <c r="E91" i="61"/>
  <c r="D345" i="63"/>
  <c r="E263" i="61"/>
  <c r="D14" i="63"/>
  <c r="E41" i="61"/>
  <c r="D273" i="63"/>
  <c r="A55" i="47"/>
  <c r="C181" i="61"/>
  <c r="B49" i="63"/>
  <c r="B367" i="63"/>
  <c r="C351" i="61"/>
  <c r="E99" i="61"/>
  <c r="D304" i="63"/>
  <c r="D181" i="63"/>
  <c r="E158" i="61"/>
  <c r="B291" i="63"/>
  <c r="C47" i="61"/>
  <c r="B15" i="63"/>
  <c r="A21" i="47"/>
  <c r="C45" i="61"/>
  <c r="C431" i="61"/>
  <c r="B387" i="63"/>
  <c r="E326" i="61"/>
  <c r="D223" i="63"/>
  <c r="C146" i="61"/>
  <c r="B178" i="63"/>
  <c r="D193" i="63"/>
  <c r="E206" i="61"/>
  <c r="B71" i="63"/>
  <c r="C269" i="61"/>
  <c r="A77" i="47"/>
  <c r="D274" i="63"/>
  <c r="C506" i="61"/>
  <c r="B268" i="63"/>
  <c r="B109" i="63"/>
  <c r="C421" i="61"/>
  <c r="A115" i="47"/>
  <c r="C229" i="61"/>
  <c r="B61" i="63"/>
  <c r="A67" i="47"/>
  <c r="D242" i="63"/>
  <c r="E402" i="61"/>
  <c r="C33" i="61"/>
  <c r="B12" i="63"/>
  <c r="A18" i="47"/>
  <c r="E405" i="61"/>
  <c r="D105" i="63"/>
  <c r="A57" i="47"/>
  <c r="C189" i="61"/>
  <c r="B51" i="63"/>
  <c r="B331" i="63"/>
  <c r="C207" i="61"/>
  <c r="E163" i="61"/>
  <c r="D320" i="63"/>
  <c r="B371" i="63"/>
  <c r="C367" i="61"/>
  <c r="C366" i="61"/>
  <c r="B233" i="63"/>
  <c r="E125" i="61"/>
  <c r="D35" i="63"/>
  <c r="E501" i="61"/>
  <c r="D129" i="63"/>
  <c r="A112" i="47"/>
  <c r="C409" i="61"/>
  <c r="B106" i="63"/>
  <c r="C509" i="61"/>
  <c r="A137" i="47"/>
  <c r="B131" i="63"/>
  <c r="D133" i="63"/>
  <c r="E319" i="61"/>
  <c r="D359" i="63"/>
  <c r="B258" i="63"/>
  <c r="C466" i="61"/>
  <c r="E213" i="61"/>
  <c r="D57" i="63"/>
  <c r="D46" i="63"/>
  <c r="E169" i="61"/>
  <c r="E350" i="61"/>
  <c r="D229" i="63"/>
  <c r="E66" i="61"/>
  <c r="D158" i="63"/>
  <c r="B33" i="63"/>
  <c r="C117" i="61"/>
  <c r="A39" i="47"/>
  <c r="B20" i="63"/>
  <c r="C65" i="61"/>
  <c r="A26" i="47"/>
  <c r="A36" i="47"/>
  <c r="C105" i="61"/>
  <c r="B30" i="63"/>
  <c r="C159" i="61"/>
  <c r="B319" i="63"/>
  <c r="B48" i="63"/>
  <c r="C177" i="61"/>
  <c r="A54" i="47"/>
  <c r="C27" i="61"/>
  <c r="B286" i="63"/>
  <c r="E189" i="61"/>
  <c r="D51" i="63"/>
  <c r="E207" i="61"/>
  <c r="D331" i="63"/>
  <c r="B320" i="63"/>
  <c r="C163" i="61"/>
  <c r="C458" i="61"/>
  <c r="B256" i="63"/>
  <c r="D236" i="63"/>
  <c r="E378" i="61"/>
  <c r="B418" i="63"/>
  <c r="D371" i="63"/>
  <c r="E367" i="61"/>
  <c r="E366" i="61"/>
  <c r="D233" i="63"/>
  <c r="B324" i="63"/>
  <c r="C179" i="61"/>
  <c r="B13" i="63"/>
  <c r="A19" i="47"/>
  <c r="C37" i="61"/>
  <c r="B384" i="63"/>
  <c r="C419" i="61"/>
  <c r="C289" i="61"/>
  <c r="B76" i="63"/>
  <c r="A82" i="47"/>
  <c r="D411" i="63"/>
  <c r="A145" i="47"/>
  <c r="B139" i="63"/>
  <c r="A135" i="47"/>
  <c r="B129" i="63"/>
  <c r="C501" i="61"/>
  <c r="D106" i="63"/>
  <c r="E409" i="61"/>
  <c r="A139" i="47"/>
  <c r="B133" i="63"/>
  <c r="E399" i="61"/>
  <c r="D379" i="63"/>
  <c r="E38" i="61"/>
  <c r="D151" i="63"/>
  <c r="E261" i="61"/>
  <c r="D69" i="63"/>
  <c r="B273" i="63"/>
  <c r="B300" i="63"/>
  <c r="C83" i="61"/>
  <c r="E410" i="61"/>
  <c r="D244" i="63"/>
  <c r="C50" i="61"/>
  <c r="B154" i="63"/>
  <c r="B414" i="63"/>
  <c r="D37" i="63"/>
  <c r="E133" i="61"/>
  <c r="D247" i="63"/>
  <c r="E422" i="61"/>
  <c r="E27" i="61"/>
  <c r="D286" i="63"/>
  <c r="E19" i="61"/>
  <c r="D284" i="63"/>
  <c r="D362" i="63"/>
  <c r="E331" i="61"/>
  <c r="B213" i="63"/>
  <c r="C286" i="61"/>
  <c r="C314" i="61"/>
  <c r="B220" i="63"/>
  <c r="C467" i="61"/>
  <c r="B396" i="63"/>
  <c r="D268" i="63"/>
  <c r="E506" i="61"/>
  <c r="D265" i="63"/>
  <c r="E494" i="61"/>
  <c r="E497" i="61"/>
  <c r="D128" i="63"/>
  <c r="C6" i="61"/>
  <c r="B143" i="63"/>
  <c r="B321" i="63"/>
  <c r="C167" i="61"/>
  <c r="D7" i="63"/>
  <c r="E13" i="61"/>
  <c r="D127" i="63"/>
  <c r="E493" i="61"/>
  <c r="A61" i="47"/>
  <c r="B55" i="63"/>
  <c r="C205" i="61"/>
  <c r="D324" i="63"/>
  <c r="E179" i="61"/>
  <c r="E37" i="61"/>
  <c r="D13" i="63"/>
  <c r="E419" i="61"/>
  <c r="D384" i="63"/>
  <c r="B411" i="63"/>
  <c r="D139" i="63"/>
  <c r="D131" i="63"/>
  <c r="E509" i="61"/>
  <c r="D258" i="63"/>
  <c r="E466" i="61"/>
  <c r="C449" i="61"/>
  <c r="A122" i="47"/>
  <c r="B116" i="63"/>
  <c r="B70" i="63"/>
  <c r="C265" i="61"/>
  <c r="A76" i="47"/>
  <c r="B151" i="63"/>
  <c r="C38" i="61"/>
  <c r="C66" i="61"/>
  <c r="B158" i="63"/>
  <c r="B132" i="63"/>
  <c r="A138" i="47"/>
  <c r="C513" i="61"/>
  <c r="C499" i="61"/>
  <c r="B404" i="63"/>
  <c r="D218" i="63"/>
  <c r="E306" i="61"/>
  <c r="E155" i="61"/>
  <c r="D318" i="63"/>
  <c r="D368" i="63"/>
  <c r="E355" i="61"/>
  <c r="B283" i="63"/>
  <c r="C15" i="61"/>
  <c r="B279" i="63"/>
  <c r="E43" i="61"/>
  <c r="D290" i="63"/>
  <c r="D383" i="63"/>
  <c r="E415" i="61"/>
  <c r="D15" i="63"/>
  <c r="E45" i="61"/>
  <c r="B370" i="63"/>
  <c r="C363" i="61"/>
  <c r="B103" i="63"/>
  <c r="C397" i="61"/>
  <c r="A109" i="47"/>
  <c r="B37" i="63"/>
  <c r="C133" i="61"/>
  <c r="A43" i="47"/>
  <c r="C487" i="61"/>
  <c r="B401" i="63"/>
  <c r="E242" i="61"/>
  <c r="D202" i="63"/>
  <c r="B383" i="63"/>
  <c r="C415" i="61"/>
  <c r="B145" i="63"/>
  <c r="C14" i="61"/>
  <c r="B16" i="63"/>
  <c r="A22" i="47"/>
  <c r="C49" i="61"/>
  <c r="E177" i="61"/>
  <c r="D48" i="63"/>
  <c r="E131" i="61"/>
  <c r="D312" i="63"/>
  <c r="C171" i="61"/>
  <c r="B322" i="63"/>
  <c r="B390" i="63"/>
  <c r="C443" i="61"/>
  <c r="E286" i="61"/>
  <c r="D213" i="63"/>
  <c r="E467" i="61"/>
  <c r="D396" i="63"/>
  <c r="A74" i="47"/>
  <c r="C257" i="61"/>
  <c r="B68" i="63"/>
  <c r="D214" i="63"/>
  <c r="E290" i="61"/>
  <c r="E322" i="61"/>
  <c r="D222" i="63"/>
  <c r="D321" i="63"/>
  <c r="E167" i="61"/>
  <c r="B330" i="63"/>
  <c r="C203" i="61"/>
  <c r="C258" i="61"/>
  <c r="B206" i="63"/>
  <c r="C271" i="61"/>
  <c r="B347" i="63"/>
  <c r="E311" i="61"/>
  <c r="D357" i="63"/>
  <c r="E513" i="61"/>
  <c r="D132" i="63"/>
  <c r="E499" i="61"/>
  <c r="D404" i="63"/>
  <c r="C306" i="61"/>
  <c r="B218" i="63"/>
  <c r="D49" i="63"/>
  <c r="E181" i="61"/>
  <c r="D136" i="63"/>
  <c r="D409" i="63"/>
  <c r="D145" i="63"/>
  <c r="E14" i="61"/>
  <c r="B247" i="63"/>
  <c r="C422" i="61"/>
  <c r="C19" i="61"/>
  <c r="B284" i="63"/>
  <c r="D291" i="63"/>
  <c r="E47" i="61"/>
  <c r="B293" i="63"/>
  <c r="C55" i="61"/>
  <c r="B97" i="63"/>
  <c r="C373" i="61"/>
  <c r="A103" i="47"/>
  <c r="B223" i="63"/>
  <c r="C326" i="61"/>
  <c r="E55" i="61"/>
  <c r="D293" i="63"/>
  <c r="D408" i="63"/>
  <c r="E515" i="61"/>
  <c r="D83" i="63"/>
  <c r="E317" i="61"/>
  <c r="D370" i="63"/>
  <c r="E363" i="61"/>
  <c r="E397" i="61"/>
  <c r="D103" i="63"/>
  <c r="D319" i="63"/>
  <c r="E159" i="61"/>
  <c r="D212" i="63"/>
  <c r="E282" i="61"/>
  <c r="A96" i="47"/>
  <c r="C345" i="61"/>
  <c r="B90" i="63"/>
  <c r="C234" i="61"/>
  <c r="B200" i="63"/>
  <c r="B113" i="63"/>
  <c r="C437" i="61"/>
  <c r="A119" i="47"/>
  <c r="E178" i="61"/>
  <c r="D186" i="63"/>
  <c r="B265" i="63"/>
  <c r="C494" i="61"/>
  <c r="B128" i="63"/>
  <c r="C497" i="61"/>
  <c r="A134" i="47"/>
  <c r="D172" i="63"/>
  <c r="E122" i="61"/>
  <c r="C246" i="61"/>
  <c r="B203" i="63"/>
  <c r="B35" i="63"/>
  <c r="C125" i="61"/>
  <c r="A41" i="47"/>
  <c r="B56" i="63"/>
  <c r="C209" i="61"/>
  <c r="A62" i="47"/>
  <c r="D146" i="63"/>
  <c r="E18" i="61"/>
  <c r="E479" i="61"/>
  <c r="D399" i="63"/>
  <c r="E265" i="61"/>
  <c r="D70" i="63"/>
  <c r="D27" i="63"/>
  <c r="E93" i="61"/>
  <c r="D388" i="63"/>
  <c r="E435" i="61"/>
  <c r="D91" i="63"/>
  <c r="E349" i="61"/>
  <c r="E463" i="61"/>
  <c r="D395" i="63"/>
  <c r="C457" i="61"/>
  <c r="B118" i="63"/>
  <c r="A124" i="47"/>
  <c r="A89" i="47"/>
  <c r="C317" i="61"/>
  <c r="B83" i="63"/>
  <c r="B314" i="63"/>
  <c r="C139" i="61"/>
  <c r="C447" i="61"/>
  <c r="B391" i="63"/>
  <c r="E345" i="61"/>
  <c r="D90" i="63"/>
  <c r="B312" i="63"/>
  <c r="C131" i="61"/>
  <c r="D135" i="63"/>
  <c r="D322" i="63"/>
  <c r="E171" i="61"/>
  <c r="E443" i="61"/>
  <c r="D390" i="63"/>
  <c r="E51" i="61"/>
  <c r="D292" i="63"/>
  <c r="B219" i="63"/>
  <c r="C310" i="61"/>
  <c r="E257" i="61"/>
  <c r="D68" i="63"/>
  <c r="E437" i="61"/>
  <c r="D113" i="63"/>
  <c r="C290" i="61"/>
  <c r="B214" i="63"/>
  <c r="A104" i="47"/>
  <c r="C377" i="61"/>
  <c r="B98" i="63"/>
  <c r="B168" i="63"/>
  <c r="C106" i="61"/>
  <c r="B172" i="63"/>
  <c r="C122" i="61"/>
  <c r="B222" i="63"/>
  <c r="C322" i="61"/>
  <c r="B50" i="63"/>
  <c r="C185" i="61"/>
  <c r="A56" i="47"/>
  <c r="B413" i="63"/>
  <c r="D289" i="63"/>
  <c r="E39" i="61"/>
  <c r="D22" i="63"/>
  <c r="E73" i="61"/>
  <c r="C211" i="61"/>
  <c r="B332" i="63"/>
  <c r="B248" i="63"/>
  <c r="C426" i="61"/>
  <c r="E258" i="61"/>
  <c r="D206" i="63"/>
  <c r="B234" i="63"/>
  <c r="C370" i="61"/>
  <c r="E438" i="61"/>
  <c r="D251" i="63"/>
  <c r="E209" i="61"/>
  <c r="D56" i="63"/>
  <c r="D342" i="63"/>
  <c r="E251" i="61"/>
  <c r="B285" i="63"/>
  <c r="C23" i="61"/>
  <c r="D347" i="63"/>
  <c r="E271" i="61"/>
  <c r="B146" i="63"/>
  <c r="C18" i="61"/>
  <c r="C479" i="61"/>
  <c r="B399" i="63"/>
  <c r="B27" i="63"/>
  <c r="A33" i="47"/>
  <c r="C93" i="61"/>
  <c r="B303" i="63"/>
  <c r="C95" i="61"/>
  <c r="E354" i="61"/>
  <c r="D230" i="63"/>
  <c r="B136" i="63"/>
  <c r="A142" i="47"/>
  <c r="E342" i="61"/>
  <c r="D227" i="63"/>
  <c r="D189" i="63"/>
  <c r="E190" i="61"/>
  <c r="C451" i="61"/>
  <c r="B392" i="63"/>
  <c r="D398" i="63"/>
  <c r="E475" i="61"/>
  <c r="C158" i="61"/>
  <c r="B181" i="63"/>
  <c r="E165" i="61"/>
  <c r="D45" i="63"/>
  <c r="B334" i="63"/>
  <c r="C219" i="61"/>
  <c r="B224" i="63"/>
  <c r="C330" i="61"/>
  <c r="B352" i="63"/>
  <c r="C291" i="61"/>
  <c r="E447" i="61"/>
  <c r="D391" i="63"/>
  <c r="E401" i="61"/>
  <c r="D104" i="63"/>
  <c r="A141" i="47"/>
  <c r="B135" i="63"/>
  <c r="C51" i="61"/>
  <c r="B292" i="63"/>
  <c r="E142" i="61"/>
  <c r="D177" i="63"/>
  <c r="D166" i="63"/>
  <c r="E98" i="61"/>
  <c r="D117" i="63"/>
  <c r="E453" i="61"/>
  <c r="B278" i="63"/>
  <c r="E429" i="61"/>
  <c r="D111" i="63"/>
  <c r="D413" i="63"/>
  <c r="C39" i="61"/>
  <c r="B289" i="63"/>
  <c r="B333" i="63"/>
  <c r="C215" i="61"/>
  <c r="D256" i="63"/>
  <c r="E458" i="61"/>
  <c r="D418" i="63"/>
  <c r="C73" i="61"/>
  <c r="B22" i="63"/>
  <c r="A28" i="47"/>
  <c r="E211" i="61"/>
  <c r="D332" i="63"/>
  <c r="D305" i="63"/>
  <c r="E103" i="61"/>
  <c r="E110" i="61"/>
  <c r="D169" i="63"/>
  <c r="D234" i="63"/>
  <c r="E370" i="61"/>
  <c r="C438" i="61"/>
  <c r="B251" i="63"/>
  <c r="D285" i="63"/>
  <c r="E23" i="61"/>
  <c r="C90" i="61"/>
  <c r="B164" i="63"/>
  <c r="D249" i="63"/>
  <c r="E430" i="61"/>
  <c r="C311" i="61"/>
  <c r="B357" i="63"/>
  <c r="E95" i="61"/>
  <c r="D303" i="63"/>
  <c r="C298" i="61"/>
  <c r="B216" i="63"/>
  <c r="A75" i="47"/>
  <c r="C261" i="61"/>
  <c r="B69" i="63"/>
  <c r="B230" i="63"/>
  <c r="C354" i="61"/>
  <c r="E81" i="61"/>
  <c r="D24" i="63"/>
  <c r="B125" i="63"/>
  <c r="A131" i="47"/>
  <c r="C485" i="61"/>
  <c r="E283" i="61"/>
  <c r="D350" i="63"/>
  <c r="B408" i="63"/>
  <c r="C515" i="61"/>
  <c r="D65" i="63"/>
  <c r="E245" i="61"/>
  <c r="D61" i="63"/>
  <c r="E229" i="61"/>
  <c r="C402" i="61"/>
  <c r="B242" i="63"/>
  <c r="D330" i="63"/>
  <c r="E203" i="61"/>
  <c r="D55" i="63"/>
  <c r="E205" i="61"/>
  <c r="E49" i="61"/>
  <c r="D16" i="63"/>
  <c r="D257" i="63"/>
  <c r="E462" i="61"/>
  <c r="B155" i="63"/>
  <c r="C54" i="61"/>
  <c r="A81" i="47"/>
  <c r="C285" i="61"/>
  <c r="B75" i="63"/>
  <c r="D306" i="63"/>
  <c r="E107" i="61"/>
  <c r="D200" i="63"/>
  <c r="E234" i="61"/>
  <c r="D98" i="63"/>
  <c r="E377" i="61"/>
  <c r="E106" i="61"/>
  <c r="D168" i="63"/>
  <c r="D47" i="63"/>
  <c r="E173" i="61"/>
  <c r="C307" i="61"/>
  <c r="B356" i="63"/>
  <c r="D182" i="63"/>
  <c r="E162" i="61"/>
  <c r="D50" i="63"/>
  <c r="E185" i="61"/>
  <c r="D245" i="63"/>
  <c r="E414" i="61"/>
  <c r="C165" i="61"/>
  <c r="B45" i="63"/>
  <c r="A51" i="47"/>
  <c r="D334" i="63"/>
  <c r="E219" i="61"/>
  <c r="E330" i="61"/>
  <c r="D224" i="63"/>
  <c r="E353" i="61"/>
  <c r="D92" i="63"/>
  <c r="B246" i="63"/>
  <c r="C418" i="61"/>
  <c r="D352" i="63"/>
  <c r="E291" i="61"/>
  <c r="D138" i="63"/>
  <c r="B271" i="63"/>
  <c r="A16" i="47"/>
  <c r="B10" i="63"/>
  <c r="C25" i="61"/>
  <c r="E139" i="61"/>
  <c r="D314" i="63"/>
  <c r="E54" i="61"/>
  <c r="D155" i="63"/>
  <c r="B306" i="63"/>
  <c r="C107" i="61"/>
  <c r="C401" i="61"/>
  <c r="A110" i="47"/>
  <c r="B104" i="63"/>
  <c r="E314" i="61"/>
  <c r="D220" i="63"/>
  <c r="B47" i="63"/>
  <c r="A53" i="47"/>
  <c r="C173" i="61"/>
  <c r="D32" i="63"/>
  <c r="E113" i="61"/>
  <c r="C294" i="61"/>
  <c r="B215" i="63"/>
  <c r="D204" i="63"/>
  <c r="E250" i="61"/>
  <c r="B343" i="63"/>
  <c r="C255" i="61"/>
  <c r="E29" i="61"/>
  <c r="D11" i="63"/>
  <c r="B117" i="63"/>
  <c r="C453" i="61"/>
  <c r="A123" i="47"/>
  <c r="D278" i="63"/>
  <c r="D333" i="63"/>
  <c r="E215" i="61"/>
  <c r="E313" i="61"/>
  <c r="D82" i="63"/>
  <c r="C103" i="61"/>
  <c r="B305" i="63"/>
  <c r="E90" i="61"/>
  <c r="D164" i="63"/>
  <c r="C399" i="61"/>
  <c r="B379" i="63"/>
  <c r="B249" i="63"/>
  <c r="C430" i="61"/>
  <c r="D216" i="63"/>
  <c r="E298" i="61"/>
  <c r="C194" i="61"/>
  <c r="B190" i="63"/>
  <c r="B196" i="63"/>
  <c r="C218" i="61"/>
  <c r="E465" i="61"/>
  <c r="D120" i="63"/>
  <c r="D72" i="63"/>
  <c r="E273" i="61"/>
  <c r="B170" i="63"/>
  <c r="C114" i="61"/>
  <c r="E442" i="61"/>
  <c r="D252" i="63"/>
  <c r="C242" i="61"/>
  <c r="B202" i="63"/>
  <c r="E431" i="61"/>
  <c r="D387" i="63"/>
  <c r="E457" i="61"/>
  <c r="D118" i="63"/>
  <c r="D326" i="63"/>
  <c r="E187" i="61"/>
  <c r="A106" i="47"/>
  <c r="B100" i="63"/>
  <c r="C385" i="61"/>
  <c r="D97" i="63"/>
  <c r="E373" i="61"/>
  <c r="E50" i="61"/>
  <c r="D154" i="63"/>
  <c r="D414" i="63"/>
  <c r="D301" i="63"/>
  <c r="E87" i="61"/>
  <c r="E269" i="61"/>
  <c r="D71" i="63"/>
  <c r="A25" i="47"/>
  <c r="C61" i="61"/>
  <c r="B19" i="63"/>
  <c r="B274" i="63"/>
  <c r="C13" i="61"/>
  <c r="A13" i="47"/>
  <c r="B7" i="63"/>
  <c r="D108" i="63"/>
  <c r="E417" i="61"/>
  <c r="B91" i="63"/>
  <c r="A97" i="47"/>
  <c r="C349" i="61"/>
  <c r="C414" i="61"/>
  <c r="B245" i="63"/>
  <c r="C482" i="61"/>
  <c r="B262" i="63"/>
  <c r="C463" i="61"/>
  <c r="B395" i="63"/>
  <c r="D271" i="63"/>
  <c r="B23" i="63"/>
  <c r="C77" i="61"/>
  <c r="A29" i="47"/>
  <c r="B416" i="63"/>
  <c r="E285" i="61"/>
  <c r="D75" i="63"/>
  <c r="B194" i="63"/>
  <c r="C210" i="61"/>
  <c r="E433" i="61"/>
  <c r="D112" i="63"/>
  <c r="E389" i="61"/>
  <c r="D101" i="63"/>
  <c r="D137" i="63"/>
  <c r="E469" i="61"/>
  <c r="D121" i="63"/>
  <c r="E7" i="61"/>
  <c r="D281" i="63"/>
  <c r="C249" i="61"/>
  <c r="A72" i="47"/>
  <c r="B66" i="63"/>
  <c r="D215" i="63"/>
  <c r="E294" i="61"/>
  <c r="B204" i="63"/>
  <c r="C250" i="61"/>
  <c r="E255" i="61"/>
  <c r="D343" i="63"/>
  <c r="D348" i="63"/>
  <c r="E275" i="61"/>
  <c r="D159" i="63"/>
  <c r="E70" i="61"/>
  <c r="B176" i="63"/>
  <c r="C138" i="61"/>
  <c r="A17" i="47"/>
  <c r="C29" i="61"/>
  <c r="B11" i="63"/>
  <c r="E426" i="61"/>
  <c r="D248" i="63"/>
  <c r="B329" i="63"/>
  <c r="C199" i="61"/>
  <c r="E495" i="61"/>
  <c r="D403" i="63"/>
  <c r="C79" i="61"/>
  <c r="B299" i="63"/>
  <c r="E301" i="61"/>
  <c r="D79" i="63"/>
  <c r="D62" i="63"/>
  <c r="E233" i="61"/>
  <c r="B44" i="63"/>
  <c r="A50" i="47"/>
  <c r="C161" i="61"/>
  <c r="B239" i="63"/>
  <c r="C390" i="61"/>
  <c r="D190" i="63"/>
  <c r="E194" i="61"/>
  <c r="D196" i="63"/>
  <c r="E218" i="61"/>
  <c r="A126" i="47"/>
  <c r="C465" i="61"/>
  <c r="B120" i="63"/>
  <c r="C71" i="61"/>
  <c r="B297" i="63"/>
  <c r="E418" i="61"/>
  <c r="D246" i="63"/>
  <c r="A144" i="47"/>
  <c r="B138" i="63"/>
  <c r="B192" i="63"/>
  <c r="C202" i="61"/>
  <c r="B257" i="63"/>
  <c r="C462" i="61"/>
  <c r="C282" i="61"/>
  <c r="B212" i="63"/>
  <c r="E482" i="61"/>
  <c r="D262" i="63"/>
  <c r="B318" i="63"/>
  <c r="C155" i="61"/>
  <c r="D167" i="63"/>
  <c r="E102" i="61"/>
  <c r="B368" i="63"/>
  <c r="C355" i="61"/>
  <c r="D416" i="63"/>
  <c r="D141" i="63"/>
  <c r="B112" i="63"/>
  <c r="A118" i="47"/>
  <c r="C433" i="61"/>
  <c r="C389" i="61"/>
  <c r="A107" i="47"/>
  <c r="B101" i="63"/>
  <c r="A143" i="47"/>
  <c r="B137" i="63"/>
  <c r="C323" i="61"/>
  <c r="B360" i="63"/>
  <c r="B272" i="63"/>
  <c r="C386" i="61"/>
  <c r="B238" i="63"/>
  <c r="B67" i="63"/>
  <c r="A73" i="47"/>
  <c r="C253" i="61"/>
  <c r="E249" i="61"/>
  <c r="D66" i="63"/>
  <c r="A38" i="47"/>
  <c r="B32" i="63"/>
  <c r="C113" i="61"/>
  <c r="E307" i="61"/>
  <c r="D356" i="63"/>
  <c r="D176" i="63"/>
  <c r="E138" i="61"/>
  <c r="E295" i="61"/>
  <c r="D353" i="63"/>
  <c r="E30" i="61"/>
  <c r="D149" i="63"/>
  <c r="E118" i="61"/>
  <c r="D171" i="63"/>
  <c r="C9" i="61"/>
  <c r="A12" i="47"/>
  <c r="B6" i="63"/>
  <c r="B253" i="63"/>
  <c r="C446" i="61"/>
  <c r="C247" i="61"/>
  <c r="B341" i="63"/>
  <c r="B114" i="63"/>
  <c r="A120" i="47"/>
  <c r="C441" i="61"/>
  <c r="E69" i="61"/>
  <c r="D21" i="63"/>
  <c r="E337" i="61"/>
  <c r="D88" i="63"/>
  <c r="C359" i="61"/>
  <c r="B369" i="63"/>
  <c r="C474" i="61"/>
  <c r="B260" i="63"/>
  <c r="D338" i="63"/>
  <c r="E235" i="61"/>
  <c r="A58" i="47"/>
  <c r="C193" i="61"/>
  <c r="B52" i="63"/>
  <c r="D250" i="63"/>
  <c r="E434" i="61"/>
  <c r="C343" i="61"/>
  <c r="B365" i="63"/>
  <c r="E199" i="61"/>
  <c r="D329" i="63"/>
  <c r="D299" i="63"/>
  <c r="E79" i="61"/>
  <c r="C301" i="61"/>
  <c r="B79" i="63"/>
  <c r="A85" i="47"/>
  <c r="A68" i="47"/>
  <c r="C233" i="61"/>
  <c r="B62" i="63"/>
  <c r="C435" i="61"/>
  <c r="B388" i="63"/>
  <c r="E161" i="61"/>
  <c r="D44" i="63"/>
  <c r="D275" i="63"/>
  <c r="D239" i="63"/>
  <c r="E390" i="61"/>
  <c r="D174" i="63"/>
  <c r="E130" i="61"/>
  <c r="E150" i="61"/>
  <c r="D179" i="63"/>
  <c r="D276" i="63"/>
  <c r="D397" i="63"/>
  <c r="E471" i="61"/>
  <c r="E254" i="61"/>
  <c r="D205" i="63"/>
  <c r="A31" i="47"/>
  <c r="C85" i="61"/>
  <c r="B25" i="63"/>
  <c r="A147" i="47"/>
  <c r="B141" i="63"/>
  <c r="D360" i="63"/>
  <c r="E323" i="61"/>
  <c r="D272" i="63"/>
  <c r="C142" i="61"/>
  <c r="B177" i="63"/>
  <c r="E310" i="61"/>
  <c r="D219" i="63"/>
  <c r="D43" i="63"/>
  <c r="E157" i="61"/>
  <c r="A140" i="47"/>
  <c r="B134" i="63"/>
  <c r="D238" i="63"/>
  <c r="E386" i="61"/>
  <c r="C275" i="61"/>
  <c r="B348" i="63"/>
  <c r="B182" i="63"/>
  <c r="C162" i="61"/>
  <c r="B166" i="63"/>
  <c r="C98" i="61"/>
  <c r="C295" i="61"/>
  <c r="B353" i="63"/>
  <c r="B171" i="63"/>
  <c r="C118" i="61"/>
  <c r="C490" i="61"/>
  <c r="B264" i="63"/>
  <c r="E9" i="61"/>
  <c r="D6" i="63"/>
  <c r="E446" i="61"/>
  <c r="D253" i="63"/>
  <c r="D341" i="63"/>
  <c r="E247" i="61"/>
  <c r="A27" i="47"/>
  <c r="C69" i="61"/>
  <c r="B21" i="63"/>
  <c r="C337" i="61"/>
  <c r="B88" i="63"/>
  <c r="A94" i="47"/>
  <c r="D327" i="63"/>
  <c r="E191" i="61"/>
  <c r="D241" i="63"/>
  <c r="E398" i="61"/>
  <c r="C235" i="61"/>
  <c r="B338" i="63"/>
  <c r="D52" i="63"/>
  <c r="E193" i="61"/>
  <c r="C495" i="61"/>
  <c r="B403" i="63"/>
  <c r="B28" i="63"/>
  <c r="A34" i="47"/>
  <c r="C97" i="61"/>
  <c r="C382" i="61"/>
  <c r="B237" i="63"/>
  <c r="B276" i="63"/>
  <c r="E369" i="61"/>
  <c r="D96" i="63"/>
  <c r="E230" i="61"/>
  <c r="D199" i="63"/>
  <c r="E374" i="61"/>
  <c r="D235" i="63"/>
  <c r="E198" i="61"/>
  <c r="D191" i="63"/>
  <c r="D10" i="63"/>
  <c r="E25" i="61"/>
  <c r="C369" i="61"/>
  <c r="A102" i="47"/>
  <c r="B96" i="63"/>
  <c r="B409" i="63"/>
  <c r="B397" i="63"/>
  <c r="C471" i="61"/>
  <c r="A130" i="47"/>
  <c r="B124" i="63"/>
  <c r="C481" i="61"/>
  <c r="E83" i="61"/>
  <c r="D300" i="63"/>
  <c r="D25" i="63"/>
  <c r="E85" i="61"/>
  <c r="C5" i="61"/>
  <c r="A11" i="47"/>
  <c r="B5" i="63"/>
  <c r="C7" i="61"/>
  <c r="B281" i="63"/>
  <c r="C278" i="61"/>
  <c r="B211" i="63"/>
  <c r="B240" i="63"/>
  <c r="C394" i="61"/>
  <c r="C166" i="61"/>
  <c r="B183" i="63"/>
  <c r="E299" i="61"/>
  <c r="D354" i="63"/>
  <c r="C70" i="61"/>
  <c r="B159" i="63"/>
  <c r="B111" i="63"/>
  <c r="A117" i="47"/>
  <c r="C429" i="61"/>
  <c r="E490" i="61"/>
  <c r="D264" i="63"/>
  <c r="C313" i="61"/>
  <c r="B82" i="63"/>
  <c r="A88" i="47"/>
  <c r="D114" i="63"/>
  <c r="E441" i="61"/>
  <c r="B327" i="63"/>
  <c r="C191" i="61"/>
  <c r="B241" i="63"/>
  <c r="C398" i="61"/>
  <c r="B169" i="63"/>
  <c r="C110" i="61"/>
  <c r="E359" i="61"/>
  <c r="D369" i="63"/>
  <c r="B342" i="63"/>
  <c r="C251" i="61"/>
  <c r="E343" i="61"/>
  <c r="D365" i="63"/>
  <c r="B275" i="63"/>
  <c r="C94" i="61"/>
  <c r="B165" i="63"/>
  <c r="E382" i="61"/>
  <c r="D237" i="63"/>
  <c r="C126" i="61"/>
  <c r="B173" i="63"/>
  <c r="D297" i="63"/>
  <c r="E71" i="61"/>
  <c r="B167" i="63"/>
  <c r="C102" i="61"/>
  <c r="E65" i="61"/>
  <c r="D20" i="63"/>
  <c r="D337" i="63"/>
  <c r="E231" i="61"/>
  <c r="C230" i="61"/>
  <c r="B199" i="63"/>
  <c r="D134" i="63"/>
  <c r="B121" i="63"/>
  <c r="C469" i="61"/>
  <c r="A127" i="47"/>
  <c r="B221" i="63"/>
  <c r="C318" i="61"/>
  <c r="B64" i="63"/>
  <c r="C241" i="61"/>
  <c r="A70" i="47"/>
  <c r="D283" i="63"/>
  <c r="E15" i="61"/>
  <c r="B191" i="63"/>
  <c r="C198" i="61"/>
  <c r="E281" i="61"/>
  <c r="D74" i="63"/>
  <c r="D23" i="63"/>
  <c r="E77" i="61"/>
  <c r="D194" i="63"/>
  <c r="E210" i="61"/>
  <c r="C427" i="61"/>
  <c r="B386" i="63"/>
  <c r="B102" i="63"/>
  <c r="C393" i="61"/>
  <c r="A108" i="47"/>
  <c r="C217" i="61"/>
  <c r="B58" i="63"/>
  <c r="A64" i="47"/>
  <c r="E253" i="61"/>
  <c r="D67" i="63"/>
  <c r="E394" i="61"/>
  <c r="D240" i="63"/>
  <c r="E166" i="61"/>
  <c r="D183" i="63"/>
  <c r="C26" i="61"/>
  <c r="B148" i="63"/>
  <c r="D412" i="63"/>
  <c r="C237" i="61"/>
  <c r="A69" i="47"/>
  <c r="B63" i="63"/>
  <c r="C238" i="61"/>
  <c r="B201" i="63"/>
  <c r="A129" i="47"/>
  <c r="B123" i="63"/>
  <c r="C477" i="61"/>
  <c r="E491" i="61"/>
  <c r="D402" i="63"/>
  <c r="E459" i="61"/>
  <c r="D394" i="63"/>
  <c r="A45" i="47"/>
  <c r="C141" i="61"/>
  <c r="B39" i="63"/>
  <c r="D340" i="63"/>
  <c r="E243" i="61"/>
  <c r="D80" i="63"/>
  <c r="E305" i="61"/>
  <c r="D310" i="63"/>
  <c r="E123" i="61"/>
  <c r="C130" i="61"/>
  <c r="B174" i="63"/>
  <c r="D417" i="63"/>
  <c r="E94" i="61"/>
  <c r="D165" i="63"/>
  <c r="D163" i="63"/>
  <c r="E86" i="61"/>
  <c r="D363" i="63"/>
  <c r="E335" i="61"/>
  <c r="A114" i="47"/>
  <c r="C417" i="61"/>
  <c r="B108" i="63"/>
  <c r="A98" i="47"/>
  <c r="C353" i="61"/>
  <c r="B92" i="63"/>
  <c r="D294" i="63"/>
  <c r="E59" i="61"/>
  <c r="B290" i="63"/>
  <c r="C43" i="61"/>
  <c r="D87" i="63"/>
  <c r="E333" i="61"/>
  <c r="E134" i="61"/>
  <c r="D175" i="63"/>
  <c r="B339" i="63"/>
  <c r="C239" i="61"/>
  <c r="E78" i="61"/>
  <c r="D161" i="63"/>
  <c r="D386" i="63"/>
  <c r="E427" i="61"/>
  <c r="E393" i="61"/>
  <c r="D102" i="63"/>
  <c r="B226" i="63"/>
  <c r="C338" i="61"/>
  <c r="D122" i="63"/>
  <c r="E473" i="61"/>
  <c r="D400" i="63"/>
  <c r="E483" i="61"/>
  <c r="C277" i="61"/>
  <c r="A79" i="47"/>
  <c r="B73" i="63"/>
  <c r="A49" i="47"/>
  <c r="B43" i="63"/>
  <c r="C157" i="61"/>
  <c r="D58" i="63"/>
  <c r="E217" i="61"/>
  <c r="E303" i="61"/>
  <c r="D355" i="63"/>
  <c r="D211" i="63"/>
  <c r="E278" i="61"/>
  <c r="C299" i="61"/>
  <c r="B354" i="63"/>
  <c r="D148" i="63"/>
  <c r="E26" i="61"/>
  <c r="B412" i="63"/>
  <c r="B307" i="63"/>
  <c r="C111" i="61"/>
  <c r="A132" i="47"/>
  <c r="C489" i="61"/>
  <c r="B126" i="63"/>
  <c r="B149" i="63"/>
  <c r="C30" i="61"/>
  <c r="D63" i="63"/>
  <c r="E237" i="61"/>
  <c r="D313" i="63"/>
  <c r="E135" i="61"/>
  <c r="E11" i="61"/>
  <c r="D282" i="63"/>
  <c r="E379" i="61"/>
  <c r="D374" i="63"/>
  <c r="C266" i="61"/>
  <c r="B208" i="63"/>
  <c r="B346" i="63"/>
  <c r="C267" i="61"/>
  <c r="B407" i="63"/>
  <c r="C511" i="61"/>
  <c r="B250" i="63"/>
  <c r="C434" i="61"/>
  <c r="C411" i="61"/>
  <c r="B382" i="63"/>
  <c r="D81" i="63"/>
  <c r="E309" i="61"/>
  <c r="E477" i="61"/>
  <c r="D123" i="63"/>
  <c r="B394" i="63"/>
  <c r="C459" i="61"/>
  <c r="D39" i="63"/>
  <c r="E141" i="61"/>
  <c r="A86" i="47"/>
  <c r="B80" i="63"/>
  <c r="C305" i="61"/>
  <c r="E97" i="61"/>
  <c r="D28" i="63"/>
  <c r="B310" i="63"/>
  <c r="C123" i="61"/>
  <c r="A15" i="47"/>
  <c r="C21" i="61"/>
  <c r="B9" i="63"/>
  <c r="E126" i="61"/>
  <c r="D173" i="63"/>
  <c r="B163" i="63"/>
  <c r="C86" i="61"/>
  <c r="B351" i="63"/>
  <c r="C287" i="61"/>
  <c r="D64" i="63"/>
  <c r="E241" i="61"/>
  <c r="D124" i="63"/>
  <c r="E481" i="61"/>
  <c r="D221" i="63"/>
  <c r="E318" i="61"/>
  <c r="B207" i="63"/>
  <c r="C262" i="61"/>
  <c r="D373" i="63"/>
  <c r="E375" i="61"/>
  <c r="C273" i="61"/>
  <c r="B72" i="63"/>
  <c r="A78" i="47"/>
  <c r="B358" i="63"/>
  <c r="C315" i="61"/>
  <c r="C395" i="61"/>
  <c r="B378" i="63"/>
  <c r="B160" i="63"/>
  <c r="C74" i="61"/>
  <c r="B175" i="63"/>
  <c r="C134" i="61"/>
  <c r="E5" i="61"/>
  <c r="D5" i="63"/>
  <c r="E277" i="61"/>
  <c r="D73" i="63"/>
  <c r="A146" i="47"/>
  <c r="B140" i="63"/>
  <c r="B355" i="63"/>
  <c r="C303" i="61"/>
  <c r="A121" i="47"/>
  <c r="C445" i="61"/>
  <c r="B115" i="63"/>
  <c r="E111" i="61"/>
  <c r="D307" i="63"/>
  <c r="C22" i="61"/>
  <c r="B147" i="63"/>
  <c r="B99" i="63"/>
  <c r="C381" i="61"/>
  <c r="A105" i="47"/>
  <c r="B313" i="63"/>
  <c r="C135" i="61"/>
  <c r="C11" i="61"/>
  <c r="B282" i="63"/>
  <c r="B374" i="63"/>
  <c r="C379" i="61"/>
  <c r="D346" i="63"/>
  <c r="E267" i="61"/>
  <c r="E411" i="61"/>
  <c r="D382" i="63"/>
  <c r="E175" i="61"/>
  <c r="D323" i="63"/>
  <c r="A87" i="47"/>
  <c r="B81" i="63"/>
  <c r="C309" i="61"/>
  <c r="B340" i="63"/>
  <c r="C243" i="61"/>
  <c r="B269" i="63"/>
  <c r="C510" i="61"/>
  <c r="D9" i="63"/>
  <c r="E21" i="61"/>
  <c r="C127" i="61"/>
  <c r="B311" i="63"/>
  <c r="B417" i="63"/>
  <c r="D351" i="63"/>
  <c r="E287" i="61"/>
  <c r="C410" i="61"/>
  <c r="B244" i="63"/>
  <c r="E338" i="61"/>
  <c r="D226" i="63"/>
  <c r="B122" i="63"/>
  <c r="C473" i="61"/>
  <c r="A128" i="47"/>
  <c r="E31" i="61"/>
  <c r="D287" i="63"/>
  <c r="C507" i="61"/>
  <c r="B406" i="63"/>
  <c r="B36" i="63"/>
  <c r="C129" i="61"/>
  <c r="A42" i="47"/>
  <c r="E474" i="61"/>
  <c r="D260" i="63"/>
  <c r="E511" i="61"/>
  <c r="D407" i="63"/>
  <c r="E82" i="61"/>
  <c r="D162" i="63"/>
  <c r="C10" i="61"/>
  <c r="B144" i="63"/>
  <c r="E137" i="61"/>
  <c r="D38" i="63"/>
  <c r="C450" i="61"/>
  <c r="B254" i="63"/>
  <c r="C342" i="61"/>
  <c r="B227" i="63"/>
  <c r="C407" i="61"/>
  <c r="B381" i="63"/>
  <c r="B189" i="63"/>
  <c r="C190" i="61"/>
  <c r="B74" i="63"/>
  <c r="A80" i="47"/>
  <c r="C281" i="61"/>
  <c r="D392" i="63"/>
  <c r="E451" i="61"/>
  <c r="A83" i="47"/>
  <c r="C293" i="61"/>
  <c r="B77" i="63"/>
  <c r="E485" i="61"/>
  <c r="D125" i="63"/>
  <c r="E35" i="61"/>
  <c r="D288" i="63"/>
  <c r="D280" i="63"/>
  <c r="D170" i="63"/>
  <c r="E114" i="61"/>
  <c r="C283" i="61"/>
  <c r="B350" i="63"/>
  <c r="C406" i="61"/>
  <c r="B243" i="63"/>
  <c r="B161" i="63"/>
  <c r="C78" i="61"/>
  <c r="C119" i="61"/>
  <c r="B309" i="63"/>
  <c r="E221" i="61"/>
  <c r="D59" i="63"/>
  <c r="B400" i="63"/>
  <c r="C483" i="61"/>
  <c r="D140" i="63"/>
  <c r="C149" i="61"/>
  <c r="A47" i="47"/>
  <c r="B41" i="63"/>
  <c r="D94" i="63"/>
  <c r="E361" i="61"/>
  <c r="E489" i="61"/>
  <c r="D126" i="63"/>
  <c r="D147" i="63"/>
  <c r="E22" i="61"/>
  <c r="E381" i="61"/>
  <c r="D99" i="63"/>
  <c r="D201" i="63"/>
  <c r="E238" i="61"/>
  <c r="B287" i="63"/>
  <c r="C31" i="61"/>
  <c r="D36" i="63"/>
  <c r="E129" i="61"/>
  <c r="B376" i="63"/>
  <c r="C387" i="61"/>
  <c r="B402" i="63"/>
  <c r="C491" i="61"/>
  <c r="D269" i="63"/>
  <c r="E510" i="61"/>
  <c r="B179" i="63"/>
  <c r="C150" i="61"/>
  <c r="E127" i="61"/>
  <c r="D311" i="63"/>
  <c r="D93" i="63"/>
  <c r="E357" i="61"/>
  <c r="D142" i="63"/>
  <c r="C455" i="61"/>
  <c r="B393" i="63"/>
  <c r="B375" i="63"/>
  <c r="C383" i="61"/>
  <c r="C374" i="61"/>
  <c r="B235" i="63"/>
  <c r="D192" i="63"/>
  <c r="E202" i="61"/>
  <c r="A93" i="47"/>
  <c r="B87" i="63"/>
  <c r="C333" i="61"/>
  <c r="B415" i="63"/>
  <c r="D279" i="63"/>
  <c r="E507" i="61"/>
  <c r="D406" i="63"/>
  <c r="C175" i="61"/>
  <c r="B323" i="63"/>
  <c r="B335" i="63"/>
  <c r="C223" i="61"/>
  <c r="A40" i="47"/>
  <c r="B34" i="63"/>
  <c r="C121" i="61"/>
  <c r="C147" i="61"/>
  <c r="B316" i="63"/>
  <c r="D157" i="63"/>
  <c r="E62" i="61"/>
  <c r="C270" i="61"/>
  <c r="B209" i="63"/>
  <c r="B93" i="63"/>
  <c r="A99" i="47"/>
  <c r="C357" i="61"/>
  <c r="E455" i="61"/>
  <c r="D393" i="63"/>
  <c r="D375" i="63"/>
  <c r="E383" i="61"/>
  <c r="C82" i="61"/>
  <c r="B162" i="63"/>
  <c r="E10" i="61"/>
  <c r="D144" i="63"/>
  <c r="D255" i="63"/>
  <c r="E454" i="61"/>
  <c r="B363" i="63"/>
  <c r="C335" i="61"/>
  <c r="B31" i="63"/>
  <c r="A37" i="47"/>
  <c r="C109" i="61"/>
  <c r="B288" i="63"/>
  <c r="C35" i="61"/>
  <c r="E339" i="61"/>
  <c r="D364" i="63"/>
  <c r="B410" i="63"/>
  <c r="C254" i="61"/>
  <c r="B205" i="63"/>
  <c r="D89" i="63"/>
  <c r="E341" i="61"/>
  <c r="D270" i="63"/>
  <c r="E514" i="61"/>
  <c r="C361" i="61"/>
  <c r="A100" i="47"/>
  <c r="B94" i="63"/>
  <c r="D115" i="63"/>
  <c r="E445" i="61"/>
  <c r="B255" i="63"/>
  <c r="C454" i="61"/>
  <c r="D18" i="63"/>
  <c r="E57" i="61"/>
  <c r="A23" i="47"/>
  <c r="B17" i="63"/>
  <c r="C53" i="61"/>
  <c r="D31" i="63"/>
  <c r="E109" i="61"/>
  <c r="D266" i="63"/>
  <c r="E498" i="61"/>
  <c r="D267" i="63"/>
  <c r="E502" i="61"/>
  <c r="E74" i="61"/>
  <c r="D160" i="63"/>
  <c r="E239" i="61"/>
  <c r="D339" i="63"/>
  <c r="B325" i="63"/>
  <c r="C183" i="61"/>
  <c r="B317" i="63"/>
  <c r="C151" i="61"/>
  <c r="E170" i="61"/>
  <c r="D184" i="63"/>
  <c r="C89" i="61"/>
  <c r="A32" i="47"/>
  <c r="B26" i="63"/>
  <c r="D54" i="63"/>
  <c r="E201" i="61"/>
  <c r="C302" i="61"/>
  <c r="B217" i="63"/>
  <c r="B270" i="63"/>
  <c r="C514" i="61"/>
  <c r="D86" i="63"/>
  <c r="E329" i="61"/>
  <c r="D401" i="63"/>
  <c r="E487" i="61"/>
  <c r="D53" i="63"/>
  <c r="E197" i="61"/>
  <c r="C321" i="61"/>
  <c r="B84" i="63"/>
  <c r="A90" i="47"/>
  <c r="D405" i="63"/>
  <c r="E503" i="61"/>
  <c r="C423" i="61"/>
  <c r="B385" i="63"/>
  <c r="C153" i="61"/>
  <c r="A48" i="47"/>
  <c r="B42" i="63"/>
  <c r="D203" i="63"/>
  <c r="E246" i="61"/>
  <c r="D295" i="63"/>
  <c r="E63" i="61"/>
  <c r="E182" i="61"/>
  <c r="D187" i="63"/>
  <c r="E387" i="61"/>
  <c r="D376" i="63"/>
  <c r="D344" i="63"/>
  <c r="E259" i="61"/>
  <c r="D130" i="63"/>
  <c r="E505" i="61"/>
  <c r="E461" i="61"/>
  <c r="D119" i="63"/>
  <c r="B263" i="63"/>
  <c r="C486" i="61"/>
  <c r="B228" i="63"/>
  <c r="C346" i="61"/>
  <c r="E470" i="61"/>
  <c r="D259" i="63"/>
  <c r="D34" i="63"/>
  <c r="E121" i="61"/>
  <c r="E270" i="61"/>
  <c r="D209" i="63"/>
  <c r="E34" i="61"/>
  <c r="D150" i="63"/>
  <c r="B366" i="63"/>
  <c r="C347" i="61"/>
  <c r="A148" i="47"/>
  <c r="B142" i="63"/>
  <c r="E315" i="61"/>
  <c r="D358" i="63"/>
  <c r="D77" i="63"/>
  <c r="E293" i="61"/>
  <c r="D243" i="63"/>
  <c r="E406" i="61"/>
  <c r="D254" i="63"/>
  <c r="E450" i="61"/>
  <c r="D381" i="63"/>
  <c r="E407" i="61"/>
  <c r="A30" i="47"/>
  <c r="B24" i="63"/>
  <c r="C81" i="61"/>
  <c r="D378" i="63"/>
  <c r="E395" i="61"/>
  <c r="B280" i="63"/>
  <c r="C339" i="61"/>
  <c r="B364" i="63"/>
  <c r="D410" i="63"/>
  <c r="B398" i="63"/>
  <c r="C475" i="61"/>
  <c r="C442" i="61"/>
  <c r="B252" i="63"/>
  <c r="E61" i="61"/>
  <c r="D19" i="63"/>
  <c r="D325" i="63"/>
  <c r="E183" i="61"/>
  <c r="E151" i="61"/>
  <c r="D317" i="63"/>
  <c r="C221" i="61"/>
  <c r="A65" i="47"/>
  <c r="B59" i="63"/>
  <c r="E371" i="61"/>
  <c r="D372" i="63"/>
  <c r="B296" i="63"/>
  <c r="C67" i="61"/>
  <c r="C201" i="61"/>
  <c r="B54" i="63"/>
  <c r="A60" i="47"/>
  <c r="E365" i="61"/>
  <c r="D95" i="63"/>
  <c r="D41" i="63"/>
  <c r="E149" i="61"/>
  <c r="B373" i="63"/>
  <c r="C375" i="61"/>
  <c r="E425" i="61"/>
  <c r="D110" i="63"/>
  <c r="C297" i="61"/>
  <c r="A84" i="47"/>
  <c r="B78" i="63"/>
  <c r="C222" i="61"/>
  <c r="B197" i="63"/>
  <c r="D328" i="63"/>
  <c r="E195" i="61"/>
  <c r="B18" i="63"/>
  <c r="C57" i="61"/>
  <c r="A24" i="47"/>
  <c r="C245" i="61"/>
  <c r="A71" i="47"/>
  <c r="B65" i="63"/>
  <c r="B326" i="63"/>
  <c r="C187" i="61"/>
  <c r="D188" i="63"/>
  <c r="E186" i="61"/>
  <c r="D30" i="63"/>
  <c r="E105" i="61"/>
  <c r="E53" i="61"/>
  <c r="D17" i="63"/>
  <c r="B361" i="63"/>
  <c r="C327" i="61"/>
  <c r="E362" i="61"/>
  <c r="D232" i="63"/>
  <c r="E227" i="61"/>
  <c r="D336" i="63"/>
  <c r="B267" i="63"/>
  <c r="C502" i="61"/>
  <c r="E325" i="61"/>
  <c r="D85" i="63"/>
  <c r="E145" i="61"/>
  <c r="D40" i="63"/>
  <c r="E101" i="61"/>
  <c r="D29" i="63"/>
  <c r="C206" i="61"/>
  <c r="B193" i="63"/>
  <c r="D156" i="63"/>
  <c r="E58" i="61"/>
  <c r="E17" i="61"/>
  <c r="D8" i="63"/>
  <c r="B153" i="63"/>
  <c r="C46" i="61"/>
  <c r="D195" i="63"/>
  <c r="E214" i="61"/>
  <c r="B184" i="63"/>
  <c r="C170" i="61"/>
  <c r="E302" i="61"/>
  <c r="D217" i="63"/>
  <c r="C226" i="61"/>
  <c r="B198" i="63"/>
  <c r="A111" i="47"/>
  <c r="B105" i="63"/>
  <c r="C405" i="61"/>
  <c r="B60" i="63"/>
  <c r="A66" i="47"/>
  <c r="C225" i="61"/>
  <c r="B308" i="63"/>
  <c r="C115" i="61"/>
  <c r="E403" i="61"/>
  <c r="D380" i="63"/>
  <c r="A92" i="47"/>
  <c r="C329" i="61"/>
  <c r="B86" i="63"/>
  <c r="D84" i="63"/>
  <c r="E321" i="61"/>
  <c r="D210" i="63"/>
  <c r="E274" i="61"/>
  <c r="E423" i="61"/>
  <c r="D385" i="63"/>
  <c r="D42" i="63"/>
  <c r="E153" i="61"/>
  <c r="D208" i="63"/>
  <c r="E266" i="61"/>
  <c r="D231" i="63"/>
  <c r="E358" i="61"/>
  <c r="C63" i="61"/>
  <c r="B295" i="63"/>
  <c r="B187" i="63"/>
  <c r="C182" i="61"/>
  <c r="B152" i="63"/>
  <c r="C42" i="61"/>
  <c r="D298" i="63"/>
  <c r="E75" i="61"/>
  <c r="C259" i="61"/>
  <c r="B344" i="63"/>
  <c r="B130" i="63"/>
  <c r="A136" i="47"/>
  <c r="C505" i="61"/>
  <c r="A125" i="47"/>
  <c r="C461" i="61"/>
  <c r="B119" i="63"/>
  <c r="E486" i="61"/>
  <c r="D263" i="63"/>
  <c r="E346" i="61"/>
  <c r="D228" i="63"/>
  <c r="E223" i="61"/>
  <c r="D335" i="63"/>
  <c r="E413" i="61"/>
  <c r="D107" i="63"/>
  <c r="E154" i="61"/>
  <c r="D180" i="63"/>
  <c r="B150" i="63"/>
  <c r="C34" i="61"/>
  <c r="E347" i="61"/>
  <c r="D366" i="63"/>
  <c r="E143" i="61"/>
  <c r="D315" i="63"/>
  <c r="D291" i="61"/>
  <c r="C352" i="63"/>
  <c r="C207" i="63"/>
  <c r="D262" i="61"/>
  <c r="D268" i="61"/>
  <c r="C484" i="63"/>
  <c r="C291" i="63"/>
  <c r="D47" i="61"/>
  <c r="C144" i="63"/>
  <c r="D10" i="61"/>
  <c r="E38" i="63"/>
  <c r="E44" i="47"/>
  <c r="E264" i="61"/>
  <c r="D483" i="63"/>
  <c r="E124" i="47"/>
  <c r="E118" i="63"/>
  <c r="AR36" i="47"/>
  <c r="AR23" i="47"/>
  <c r="C378" i="63"/>
  <c r="D395" i="61"/>
  <c r="C267" i="63"/>
  <c r="D502" i="61"/>
  <c r="D116" i="61"/>
  <c r="C446" i="63"/>
  <c r="C252" i="63"/>
  <c r="D442" i="61"/>
  <c r="C461" i="63"/>
  <c r="D176" i="61"/>
  <c r="D536" i="63"/>
  <c r="E476" i="61"/>
  <c r="E19" i="63"/>
  <c r="E25" i="47"/>
  <c r="E108" i="47"/>
  <c r="E102" i="63"/>
  <c r="AR65" i="47"/>
  <c r="E122" i="63"/>
  <c r="E128" i="47"/>
  <c r="C232" i="61"/>
  <c r="B475" i="63"/>
  <c r="D89" i="61"/>
  <c r="C26" i="63"/>
  <c r="C58" i="63"/>
  <c r="D217" i="61"/>
  <c r="E100" i="61"/>
  <c r="D442" i="63"/>
  <c r="D468" i="63"/>
  <c r="E204" i="61"/>
  <c r="D494" i="63"/>
  <c r="E308" i="61"/>
  <c r="D408" i="61"/>
  <c r="C519" i="63"/>
  <c r="AR111" i="47"/>
  <c r="C420" i="61"/>
  <c r="B522" i="63"/>
  <c r="C307" i="63"/>
  <c r="D111" i="61"/>
  <c r="C495" i="63"/>
  <c r="D312" i="61"/>
  <c r="E63" i="63"/>
  <c r="E69" i="47"/>
  <c r="C84" i="63"/>
  <c r="D321" i="61"/>
  <c r="E99" i="63"/>
  <c r="E105" i="47"/>
  <c r="D31" i="61"/>
  <c r="C287" i="63"/>
  <c r="AR42" i="47"/>
  <c r="D387" i="61"/>
  <c r="C376" i="63"/>
  <c r="B491" i="63"/>
  <c r="C296" i="61"/>
  <c r="B504" i="63"/>
  <c r="C348" i="61"/>
  <c r="E130" i="63"/>
  <c r="E136" i="47"/>
  <c r="D486" i="61"/>
  <c r="C263" i="63"/>
  <c r="C538" i="63"/>
  <c r="D484" i="61"/>
  <c r="E81" i="63"/>
  <c r="E87" i="47"/>
  <c r="C359" i="63"/>
  <c r="D319" i="61"/>
  <c r="D223" i="61"/>
  <c r="C335" i="63"/>
  <c r="E34" i="63"/>
  <c r="E40" i="47"/>
  <c r="AR86" i="47"/>
  <c r="E508" i="61"/>
  <c r="D544" i="63"/>
  <c r="C150" i="63"/>
  <c r="D34" i="61"/>
  <c r="AR15" i="47"/>
  <c r="D500" i="61"/>
  <c r="C542" i="63"/>
  <c r="D455" i="63"/>
  <c r="E152" i="61"/>
  <c r="E316" i="61"/>
  <c r="D496" i="63"/>
  <c r="E15" i="63"/>
  <c r="E21" i="47"/>
  <c r="D504" i="61"/>
  <c r="C543" i="63"/>
  <c r="AR24" i="47"/>
  <c r="D59" i="61"/>
  <c r="C294" i="63"/>
  <c r="C264" i="61"/>
  <c r="B483" i="63"/>
  <c r="E65" i="63"/>
  <c r="E71" i="47"/>
  <c r="C326" i="63"/>
  <c r="D187" i="61"/>
  <c r="C426" i="63"/>
  <c r="D36" i="61"/>
  <c r="C100" i="63"/>
  <c r="D385" i="61"/>
  <c r="C17" i="63"/>
  <c r="D53" i="61"/>
  <c r="C77" i="63"/>
  <c r="D293" i="61"/>
  <c r="D535" i="63"/>
  <c r="E472" i="61"/>
  <c r="E131" i="47"/>
  <c r="E125" i="63"/>
  <c r="C232" i="63"/>
  <c r="D362" i="61"/>
  <c r="C364" i="63"/>
  <c r="D339" i="61"/>
  <c r="C360" i="61"/>
  <c r="B507" i="63"/>
  <c r="D114" i="61"/>
  <c r="C170" i="63"/>
  <c r="E35" i="47"/>
  <c r="E29" i="63"/>
  <c r="C350" i="63"/>
  <c r="D283" i="61"/>
  <c r="D406" i="61"/>
  <c r="C243" i="63"/>
  <c r="C175" i="63"/>
  <c r="D134" i="61"/>
  <c r="C19" i="63"/>
  <c r="D61" i="61"/>
  <c r="C325" i="63"/>
  <c r="D183" i="61"/>
  <c r="C59" i="63"/>
  <c r="D221" i="61"/>
  <c r="C226" i="63"/>
  <c r="D338" i="61"/>
  <c r="C184" i="63"/>
  <c r="D170" i="61"/>
  <c r="AR128" i="47"/>
  <c r="D530" i="63"/>
  <c r="E452" i="61"/>
  <c r="E146" i="47"/>
  <c r="E140" i="63"/>
  <c r="C388" i="61"/>
  <c r="B514" i="63"/>
  <c r="B442" i="63"/>
  <c r="C100" i="61"/>
  <c r="C217" i="63"/>
  <c r="D302" i="61"/>
  <c r="B422" i="63"/>
  <c r="C20" i="61"/>
  <c r="E47" i="47"/>
  <c r="E41" i="63"/>
  <c r="D226" i="61"/>
  <c r="C198" i="63"/>
  <c r="C143" i="63"/>
  <c r="D6" i="61"/>
  <c r="D456" i="63"/>
  <c r="E156" i="61"/>
  <c r="D225" i="61"/>
  <c r="C60" i="63"/>
  <c r="D403" i="61"/>
  <c r="C380" i="63"/>
  <c r="C401" i="63"/>
  <c r="D487" i="61"/>
  <c r="D381" i="61"/>
  <c r="C99" i="63"/>
  <c r="D445" i="63"/>
  <c r="E112" i="61"/>
  <c r="E48" i="47"/>
  <c r="E42" i="63"/>
  <c r="E64" i="61"/>
  <c r="D433" i="63"/>
  <c r="E428" i="61"/>
  <c r="D524" i="63"/>
  <c r="C295" i="63"/>
  <c r="D63" i="61"/>
  <c r="E42" i="47"/>
  <c r="E36" i="63"/>
  <c r="C76" i="63"/>
  <c r="D289" i="61"/>
  <c r="D491" i="63"/>
  <c r="E296" i="61"/>
  <c r="D504" i="63"/>
  <c r="E348" i="61"/>
  <c r="E484" i="61"/>
  <c r="D538" i="63"/>
  <c r="AR87" i="47"/>
  <c r="C258" i="63"/>
  <c r="D466" i="61"/>
  <c r="C292" i="61"/>
  <c r="B490" i="63"/>
  <c r="D62" i="61"/>
  <c r="C157" i="63"/>
  <c r="C107" i="63"/>
  <c r="D413" i="61"/>
  <c r="E500" i="61"/>
  <c r="D542" i="63"/>
  <c r="AR148" i="47"/>
  <c r="D455" i="61"/>
  <c r="C393" i="63"/>
  <c r="D470" i="63"/>
  <c r="E212" i="61"/>
  <c r="C290" i="63"/>
  <c r="D43" i="61"/>
  <c r="D342" i="61"/>
  <c r="C227" i="63"/>
  <c r="B484" i="63"/>
  <c r="C268" i="61"/>
  <c r="D484" i="63"/>
  <c r="E268" i="61"/>
  <c r="C197" i="63"/>
  <c r="D222" i="61"/>
  <c r="C381" i="63"/>
  <c r="D407" i="61"/>
  <c r="E23" i="47"/>
  <c r="E17" i="63"/>
  <c r="E30" i="47"/>
  <c r="E24" i="63"/>
  <c r="C125" i="63"/>
  <c r="D485" i="61"/>
  <c r="E360" i="61"/>
  <c r="D507" i="63"/>
  <c r="C85" i="63"/>
  <c r="D325" i="61"/>
  <c r="D145" i="61"/>
  <c r="C40" i="63"/>
  <c r="AR35" i="47"/>
  <c r="E8" i="63"/>
  <c r="E14" i="47"/>
  <c r="E141" i="47"/>
  <c r="E135" i="63"/>
  <c r="AR25" i="47"/>
  <c r="C300" i="61"/>
  <c r="B492" i="63"/>
  <c r="D119" i="61"/>
  <c r="C309" i="63"/>
  <c r="C185" i="63"/>
  <c r="D174" i="61"/>
  <c r="E65" i="47"/>
  <c r="E59" i="63"/>
  <c r="D244" i="61"/>
  <c r="C478" i="63"/>
  <c r="C54" i="63"/>
  <c r="D201" i="61"/>
  <c r="C168" i="63"/>
  <c r="D106" i="61"/>
  <c r="C468" i="63"/>
  <c r="D204" i="61"/>
  <c r="C453" i="63"/>
  <c r="D144" i="61"/>
  <c r="C456" i="63"/>
  <c r="D156" i="61"/>
  <c r="D439" i="61"/>
  <c r="C389" i="63"/>
  <c r="E100" i="47"/>
  <c r="E94" i="63"/>
  <c r="E115" i="63"/>
  <c r="E121" i="47"/>
  <c r="AR92" i="47"/>
  <c r="AR59" i="47"/>
  <c r="AR133" i="47"/>
  <c r="C405" i="63"/>
  <c r="D503" i="61"/>
  <c r="D112" i="61"/>
  <c r="C445" i="63"/>
  <c r="D153" i="61"/>
  <c r="C42" i="63"/>
  <c r="C64" i="61"/>
  <c r="B433" i="63"/>
  <c r="D502" i="63"/>
  <c r="E340" i="61"/>
  <c r="C152" i="63"/>
  <c r="D42" i="61"/>
  <c r="D129" i="61"/>
  <c r="C36" i="63"/>
  <c r="E76" i="63"/>
  <c r="E82" i="47"/>
  <c r="D259" i="61"/>
  <c r="C344" i="63"/>
  <c r="E119" i="63"/>
  <c r="E125" i="47"/>
  <c r="C440" i="61"/>
  <c r="B527" i="63"/>
  <c r="E76" i="47"/>
  <c r="E70" i="63"/>
  <c r="D147" i="61"/>
  <c r="C316" i="63"/>
  <c r="C490" i="63"/>
  <c r="D292" i="61"/>
  <c r="E496" i="61"/>
  <c r="D541" i="63"/>
  <c r="E136" i="61"/>
  <c r="D451" i="63"/>
  <c r="C269" i="63"/>
  <c r="D510" i="61"/>
  <c r="D357" i="61"/>
  <c r="C93" i="63"/>
  <c r="C302" i="63"/>
  <c r="D91" i="61"/>
  <c r="D383" i="61"/>
  <c r="C375" i="63"/>
  <c r="C184" i="61"/>
  <c r="B463" i="63"/>
  <c r="D440" i="63"/>
  <c r="E92" i="61"/>
  <c r="C223" i="63"/>
  <c r="D326" i="61"/>
  <c r="D52" i="61"/>
  <c r="C430" i="63"/>
  <c r="D300" i="61"/>
  <c r="C492" i="63"/>
  <c r="B468" i="63"/>
  <c r="C204" i="61"/>
  <c r="AR66" i="47"/>
  <c r="C86" i="63"/>
  <c r="D329" i="61"/>
  <c r="D197" i="61"/>
  <c r="C53" i="63"/>
  <c r="AR90" i="47"/>
  <c r="E35" i="63"/>
  <c r="E41" i="47"/>
  <c r="D370" i="61"/>
  <c r="C234" i="63"/>
  <c r="AR136" i="47"/>
  <c r="AR125" i="47"/>
  <c r="E440" i="61"/>
  <c r="D527" i="63"/>
  <c r="D528" i="63"/>
  <c r="E444" i="61"/>
  <c r="E122" i="47"/>
  <c r="E116" i="63"/>
  <c r="AR76" i="47"/>
  <c r="D121" i="61"/>
  <c r="C34" i="63"/>
  <c r="D213" i="61"/>
  <c r="C57" i="63"/>
  <c r="D169" i="61"/>
  <c r="C46" i="63"/>
  <c r="B541" i="63"/>
  <c r="C496" i="61"/>
  <c r="E107" i="63"/>
  <c r="E113" i="47"/>
  <c r="D270" i="61"/>
  <c r="C209" i="63"/>
  <c r="C229" i="63"/>
  <c r="D350" i="61"/>
  <c r="D347" i="61"/>
  <c r="C366" i="63"/>
  <c r="E39" i="47"/>
  <c r="E33" i="63"/>
  <c r="C152" i="61"/>
  <c r="B455" i="63"/>
  <c r="D32" i="61"/>
  <c r="C425" i="63"/>
  <c r="E20" i="47"/>
  <c r="E14" i="63"/>
  <c r="B470" i="63"/>
  <c r="C212" i="61"/>
  <c r="D184" i="61"/>
  <c r="C463" i="63"/>
  <c r="B440" i="63"/>
  <c r="C92" i="61"/>
  <c r="C395" i="63"/>
  <c r="D463" i="61"/>
  <c r="C65" i="63"/>
  <c r="D245" i="61"/>
  <c r="D360" i="61"/>
  <c r="C507" i="63"/>
  <c r="C90" i="63"/>
  <c r="D345" i="61"/>
  <c r="C429" i="63"/>
  <c r="D48" i="61"/>
  <c r="E77" i="47"/>
  <c r="E71" i="63"/>
  <c r="D461" i="63"/>
  <c r="E176" i="61"/>
  <c r="D151" i="61"/>
  <c r="C317" i="63"/>
  <c r="C288" i="61"/>
  <c r="B489" i="63"/>
  <c r="D371" i="61"/>
  <c r="C372" i="63"/>
  <c r="D475" i="63"/>
  <c r="E232" i="61"/>
  <c r="D452" i="63"/>
  <c r="E140" i="61"/>
  <c r="D457" i="63"/>
  <c r="E160" i="61"/>
  <c r="D229" i="61"/>
  <c r="C61" i="63"/>
  <c r="C186" i="63"/>
  <c r="D178" i="61"/>
  <c r="C494" i="63"/>
  <c r="D308" i="61"/>
  <c r="B456" i="63"/>
  <c r="C156" i="61"/>
  <c r="D514" i="61"/>
  <c r="C270" i="63"/>
  <c r="E18" i="47"/>
  <c r="E12" i="63"/>
  <c r="D519" i="63"/>
  <c r="E408" i="61"/>
  <c r="D525" i="63"/>
  <c r="E432" i="61"/>
  <c r="D115" i="61"/>
  <c r="C308" i="63"/>
  <c r="E92" i="47"/>
  <c r="E86" i="63"/>
  <c r="E59" i="47"/>
  <c r="E53" i="63"/>
  <c r="D274" i="61"/>
  <c r="C210" i="63"/>
  <c r="D423" i="61"/>
  <c r="C385" i="63"/>
  <c r="C35" i="63"/>
  <c r="D125" i="61"/>
  <c r="D340" i="61"/>
  <c r="C502" i="63"/>
  <c r="C56" i="63"/>
  <c r="D209" i="61"/>
  <c r="B538" i="63"/>
  <c r="C484" i="61"/>
  <c r="AR112" i="47"/>
  <c r="D346" i="61"/>
  <c r="C228" i="63"/>
  <c r="E139" i="47"/>
  <c r="E133" i="63"/>
  <c r="AR40" i="47"/>
  <c r="AR63" i="47"/>
  <c r="C136" i="61"/>
  <c r="B451" i="63"/>
  <c r="C180" i="63"/>
  <c r="D154" i="61"/>
  <c r="D143" i="61"/>
  <c r="C315" i="63"/>
  <c r="AR75" i="47"/>
  <c r="C32" i="61"/>
  <c r="B425" i="63"/>
  <c r="AR55" i="47"/>
  <c r="D414" i="61"/>
  <c r="C245" i="63"/>
  <c r="E368" i="61"/>
  <c r="D509" i="63"/>
  <c r="C254" i="63"/>
  <c r="D450" i="61"/>
  <c r="D380" i="61"/>
  <c r="C512" i="63"/>
  <c r="AR18" i="47"/>
  <c r="AR100" i="47"/>
  <c r="D45" i="61"/>
  <c r="C15" i="63"/>
  <c r="C118" i="63"/>
  <c r="D457" i="61"/>
  <c r="E456" i="61"/>
  <c r="D531" i="63"/>
  <c r="C36" i="61"/>
  <c r="B426" i="63"/>
  <c r="B521" i="63"/>
  <c r="C416" i="61"/>
  <c r="D431" i="61"/>
  <c r="C387" i="63"/>
  <c r="D373" i="61"/>
  <c r="C97" i="63"/>
  <c r="C471" i="63"/>
  <c r="D216" i="61"/>
  <c r="C76" i="61"/>
  <c r="B436" i="63"/>
  <c r="E300" i="61"/>
  <c r="D492" i="63"/>
  <c r="C220" i="63"/>
  <c r="D314" i="61"/>
  <c r="C244" i="61"/>
  <c r="B478" i="63"/>
  <c r="D182" i="61"/>
  <c r="C187" i="63"/>
  <c r="D75" i="61"/>
  <c r="C298" i="63"/>
  <c r="C130" i="63"/>
  <c r="D505" i="61"/>
  <c r="AR135" i="47"/>
  <c r="E256" i="61"/>
  <c r="D481" i="63"/>
  <c r="D117" i="61"/>
  <c r="C33" i="63"/>
  <c r="E32" i="61"/>
  <c r="D425" i="63"/>
  <c r="C396" i="61"/>
  <c r="B516" i="63"/>
  <c r="D436" i="63"/>
  <c r="E76" i="61"/>
  <c r="C172" i="61"/>
  <c r="B460" i="63"/>
  <c r="D140" i="61"/>
  <c r="C452" i="63"/>
  <c r="D452" i="61"/>
  <c r="C530" i="63"/>
  <c r="C41" i="63"/>
  <c r="D149" i="61"/>
  <c r="D425" i="61"/>
  <c r="C110" i="63"/>
  <c r="C408" i="63"/>
  <c r="D515" i="61"/>
  <c r="D516" i="61"/>
  <c r="C546" i="63"/>
  <c r="D472" i="61"/>
  <c r="C535" i="63"/>
  <c r="C78" i="63"/>
  <c r="D297" i="61"/>
  <c r="D391" i="61"/>
  <c r="C377" i="63"/>
  <c r="B437" i="63"/>
  <c r="C80" i="61"/>
  <c r="E18" i="63"/>
  <c r="E24" i="47"/>
  <c r="E88" i="61"/>
  <c r="D439" i="63"/>
  <c r="D426" i="63"/>
  <c r="E36" i="61"/>
  <c r="D478" i="61"/>
  <c r="C261" i="63"/>
  <c r="E22" i="47"/>
  <c r="E16" i="63"/>
  <c r="D546" i="63"/>
  <c r="E516" i="61"/>
  <c r="E36" i="47"/>
  <c r="E30" i="63"/>
  <c r="D327" i="61"/>
  <c r="C361" i="63"/>
  <c r="D139" i="61"/>
  <c r="C314" i="63"/>
  <c r="D50" i="61"/>
  <c r="C154" i="63"/>
  <c r="D512" i="63"/>
  <c r="E380" i="61"/>
  <c r="D87" i="61"/>
  <c r="C301" i="63"/>
  <c r="AR91" i="47"/>
  <c r="E46" i="47"/>
  <c r="E40" i="63"/>
  <c r="D133" i="61"/>
  <c r="C37" i="63"/>
  <c r="C52" i="61"/>
  <c r="B430" i="63"/>
  <c r="C489" i="63"/>
  <c r="D288" i="61"/>
  <c r="D172" i="61"/>
  <c r="C460" i="63"/>
  <c r="B452" i="63"/>
  <c r="C140" i="61"/>
  <c r="E32" i="47"/>
  <c r="E26" i="63"/>
  <c r="B530" i="63"/>
  <c r="C452" i="61"/>
  <c r="AR115" i="47"/>
  <c r="AR67" i="47"/>
  <c r="D33" i="61"/>
  <c r="C12" i="63"/>
  <c r="E127" i="63"/>
  <c r="E133" i="47"/>
  <c r="E90" i="47"/>
  <c r="E84" i="63"/>
  <c r="D205" i="61"/>
  <c r="C55" i="63"/>
  <c r="C236" i="63"/>
  <c r="D378" i="61"/>
  <c r="AR48" i="47"/>
  <c r="E276" i="61"/>
  <c r="D486" i="63"/>
  <c r="C119" i="63"/>
  <c r="D461" i="61"/>
  <c r="E137" i="47"/>
  <c r="E131" i="63"/>
  <c r="AR122" i="47"/>
  <c r="C128" i="61"/>
  <c r="B449" i="63"/>
  <c r="E57" i="63"/>
  <c r="E63" i="47"/>
  <c r="D490" i="63"/>
  <c r="E292" i="61"/>
  <c r="D55" i="61"/>
  <c r="C293" i="63"/>
  <c r="D415" i="61"/>
  <c r="C383" i="63"/>
  <c r="C328" i="63"/>
  <c r="D195" i="61"/>
  <c r="D418" i="61"/>
  <c r="C246" i="63"/>
  <c r="D437" i="63"/>
  <c r="E80" i="61"/>
  <c r="D533" i="63"/>
  <c r="E464" i="61"/>
  <c r="C439" i="63"/>
  <c r="D88" i="61"/>
  <c r="D416" i="61"/>
  <c r="C521" i="63"/>
  <c r="C304" i="63"/>
  <c r="D99" i="61"/>
  <c r="AR22" i="47"/>
  <c r="E106" i="47"/>
  <c r="E100" i="63"/>
  <c r="C30" i="63"/>
  <c r="D105" i="61"/>
  <c r="C319" i="63"/>
  <c r="D159" i="61"/>
  <c r="E103" i="47"/>
  <c r="E97" i="63"/>
  <c r="C380" i="61"/>
  <c r="B512" i="63"/>
  <c r="AR46" i="47"/>
  <c r="AR43" i="47"/>
  <c r="C29" i="63"/>
  <c r="D101" i="61"/>
  <c r="D58" i="61"/>
  <c r="C156" i="63"/>
  <c r="D17" i="61"/>
  <c r="C8" i="63"/>
  <c r="E228" i="61"/>
  <c r="D474" i="63"/>
  <c r="AR53" i="47"/>
  <c r="C144" i="61"/>
  <c r="B453" i="63"/>
  <c r="D334" i="61"/>
  <c r="C225" i="63"/>
  <c r="D405" i="61"/>
  <c r="C105" i="63"/>
  <c r="E66" i="47"/>
  <c r="E60" i="63"/>
  <c r="E51" i="63"/>
  <c r="E57" i="47"/>
  <c r="C111" i="63"/>
  <c r="D429" i="61"/>
  <c r="B445" i="63"/>
  <c r="C112" i="61"/>
  <c r="D477" i="63"/>
  <c r="E240" i="61"/>
  <c r="AR19" i="47"/>
  <c r="AR82" i="47"/>
  <c r="E129" i="63"/>
  <c r="E135" i="47"/>
  <c r="B448" i="63"/>
  <c r="C124" i="61"/>
  <c r="E112" i="47"/>
  <c r="E106" i="63"/>
  <c r="D265" i="61"/>
  <c r="C70" i="63"/>
  <c r="AR52" i="47"/>
  <c r="C451" i="63"/>
  <c r="D136" i="61"/>
  <c r="AR113" i="47"/>
  <c r="C379" i="63"/>
  <c r="D399" i="61"/>
  <c r="C158" i="63"/>
  <c r="D66" i="61"/>
  <c r="AR138" i="47"/>
  <c r="C345" i="63"/>
  <c r="D263" i="61"/>
  <c r="D41" i="61"/>
  <c r="C14" i="63"/>
  <c r="C218" i="63"/>
  <c r="D306" i="61"/>
  <c r="E55" i="47"/>
  <c r="E49" i="63"/>
  <c r="E92" i="63"/>
  <c r="E98" i="47"/>
  <c r="D80" i="61"/>
  <c r="C437" i="63"/>
  <c r="B517" i="63"/>
  <c r="C400" i="61"/>
  <c r="C224" i="61"/>
  <c r="B473" i="63"/>
  <c r="D472" i="63"/>
  <c r="E220" i="61"/>
  <c r="AR77" i="47"/>
  <c r="D279" i="61"/>
  <c r="C349" i="63"/>
  <c r="C68" i="63"/>
  <c r="D257" i="61"/>
  <c r="C109" i="63"/>
  <c r="D421" i="61"/>
  <c r="D402" i="61"/>
  <c r="C242" i="63"/>
  <c r="D432" i="61"/>
  <c r="C525" i="63"/>
  <c r="AR13" i="47"/>
  <c r="D493" i="61"/>
  <c r="C127" i="63"/>
  <c r="E55" i="63"/>
  <c r="E61" i="47"/>
  <c r="D313" i="61"/>
  <c r="C82" i="63"/>
  <c r="C371" i="63"/>
  <c r="D367" i="61"/>
  <c r="D366" i="61"/>
  <c r="C233" i="63"/>
  <c r="C486" i="63"/>
  <c r="D276" i="61"/>
  <c r="C477" i="63"/>
  <c r="D240" i="61"/>
  <c r="D344" i="61"/>
  <c r="C503" i="63"/>
  <c r="AR145" i="47"/>
  <c r="E62" i="47"/>
  <c r="E56" i="63"/>
  <c r="C129" i="63"/>
  <c r="D501" i="61"/>
  <c r="C342" i="63"/>
  <c r="D251" i="61"/>
  <c r="C527" i="63"/>
  <c r="D440" i="61"/>
  <c r="D124" i="61"/>
  <c r="C448" i="63"/>
  <c r="D509" i="61"/>
  <c r="C131" i="63"/>
  <c r="AR139" i="47"/>
  <c r="D271" i="61"/>
  <c r="C347" i="63"/>
  <c r="C116" i="63"/>
  <c r="D449" i="61"/>
  <c r="E52" i="47"/>
  <c r="E46" i="63"/>
  <c r="B523" i="63"/>
  <c r="C424" i="61"/>
  <c r="D256" i="61"/>
  <c r="C481" i="63"/>
  <c r="AR39" i="47"/>
  <c r="E138" i="47"/>
  <c r="E132" i="63"/>
  <c r="D537" i="63"/>
  <c r="E480" i="61"/>
  <c r="AR20" i="47"/>
  <c r="D463" i="63"/>
  <c r="E184" i="61"/>
  <c r="AR142" i="47"/>
  <c r="D482" i="63"/>
  <c r="E260" i="61"/>
  <c r="D351" i="61"/>
  <c r="C367" i="63"/>
  <c r="C18" i="63"/>
  <c r="D57" i="61"/>
  <c r="C456" i="61"/>
  <c r="B531" i="63"/>
  <c r="D227" i="61"/>
  <c r="C336" i="63"/>
  <c r="C266" i="63"/>
  <c r="D498" i="61"/>
  <c r="D206" i="61"/>
  <c r="C193" i="63"/>
  <c r="E54" i="63"/>
  <c r="E60" i="47"/>
  <c r="E144" i="61"/>
  <c r="D453" i="63"/>
  <c r="D456" i="61"/>
  <c r="C531" i="63"/>
  <c r="C103" i="63"/>
  <c r="D397" i="61"/>
  <c r="D177" i="61"/>
  <c r="C48" i="63"/>
  <c r="E60" i="61"/>
  <c r="D432" i="63"/>
  <c r="C272" i="61"/>
  <c r="B485" i="63"/>
  <c r="E48" i="61"/>
  <c r="D429" i="63"/>
  <c r="C286" i="63"/>
  <c r="D27" i="61"/>
  <c r="D430" i="63"/>
  <c r="E52" i="61"/>
  <c r="B474" i="63"/>
  <c r="C228" i="61"/>
  <c r="E134" i="47"/>
  <c r="E128" i="63"/>
  <c r="B494" i="63"/>
  <c r="C308" i="61"/>
  <c r="C348" i="63"/>
  <c r="D275" i="61"/>
  <c r="C222" i="63"/>
  <c r="D322" i="61"/>
  <c r="E97" i="47"/>
  <c r="E91" i="63"/>
  <c r="D476" i="63"/>
  <c r="E236" i="61"/>
  <c r="D469" i="63"/>
  <c r="E208" i="61"/>
  <c r="C120" i="61"/>
  <c r="B447" i="63"/>
  <c r="D14" i="61"/>
  <c r="C145" i="63"/>
  <c r="E20" i="63"/>
  <c r="E26" i="47"/>
  <c r="B438" i="63"/>
  <c r="C84" i="61"/>
  <c r="D400" i="61"/>
  <c r="C517" i="63"/>
  <c r="AR103" i="47"/>
  <c r="D508" i="63"/>
  <c r="E364" i="61"/>
  <c r="C178" i="63"/>
  <c r="D146" i="61"/>
  <c r="C48" i="61"/>
  <c r="B429" i="63"/>
  <c r="AR81" i="47"/>
  <c r="D499" i="63"/>
  <c r="E328" i="61"/>
  <c r="C200" i="63"/>
  <c r="D234" i="61"/>
  <c r="D331" i="61"/>
  <c r="C362" i="63"/>
  <c r="C436" i="63"/>
  <c r="D76" i="61"/>
  <c r="C500" i="63"/>
  <c r="D332" i="61"/>
  <c r="E288" i="61"/>
  <c r="D489" i="63"/>
  <c r="C292" i="63"/>
  <c r="D51" i="61"/>
  <c r="E172" i="61"/>
  <c r="D460" i="63"/>
  <c r="D506" i="61"/>
  <c r="C268" i="63"/>
  <c r="D310" i="61"/>
  <c r="C219" i="63"/>
  <c r="AR74" i="47"/>
  <c r="D478" i="63"/>
  <c r="E244" i="61"/>
  <c r="E113" i="63"/>
  <c r="E119" i="47"/>
  <c r="E115" i="47"/>
  <c r="E109" i="63"/>
  <c r="D290" i="61"/>
  <c r="C214" i="63"/>
  <c r="C128" i="63"/>
  <c r="D497" i="61"/>
  <c r="AR57" i="47"/>
  <c r="E50" i="63"/>
  <c r="E56" i="47"/>
  <c r="C331" i="63"/>
  <c r="D207" i="61"/>
  <c r="C320" i="63"/>
  <c r="D163" i="61"/>
  <c r="C22" i="63"/>
  <c r="D73" i="61"/>
  <c r="C344" i="61"/>
  <c r="B503" i="63"/>
  <c r="E16" i="61"/>
  <c r="D421" i="63"/>
  <c r="E13" i="63"/>
  <c r="E19" i="47"/>
  <c r="C206" i="63"/>
  <c r="D258" i="61"/>
  <c r="E139" i="63"/>
  <c r="E145" i="47"/>
  <c r="C458" i="63"/>
  <c r="D164" i="61"/>
  <c r="B526" i="63"/>
  <c r="C436" i="61"/>
  <c r="D409" i="61"/>
  <c r="C106" i="63"/>
  <c r="AR137" i="47"/>
  <c r="D93" i="61"/>
  <c r="C27" i="63"/>
  <c r="D376" i="61"/>
  <c r="C511" i="63"/>
  <c r="E424" i="61"/>
  <c r="D523" i="63"/>
  <c r="C151" i="63"/>
  <c r="D38" i="61"/>
  <c r="C256" i="61"/>
  <c r="B481" i="63"/>
  <c r="B537" i="63"/>
  <c r="C480" i="61"/>
  <c r="D396" i="61"/>
  <c r="C516" i="63"/>
  <c r="C404" i="63"/>
  <c r="D499" i="61"/>
  <c r="D404" i="61"/>
  <c r="C518" i="63"/>
  <c r="C49" i="63"/>
  <c r="D181" i="61"/>
  <c r="E136" i="63"/>
  <c r="E142" i="47"/>
  <c r="B466" i="63"/>
  <c r="C196" i="61"/>
  <c r="C472" i="63"/>
  <c r="D220" i="61"/>
  <c r="D482" i="61"/>
  <c r="C262" i="63"/>
  <c r="C199" i="63"/>
  <c r="D230" i="61"/>
  <c r="E110" i="63"/>
  <c r="E116" i="47"/>
  <c r="E78" i="63"/>
  <c r="E84" i="47"/>
  <c r="E85" i="63"/>
  <c r="E91" i="47"/>
  <c r="E105" i="63"/>
  <c r="E111" i="47"/>
  <c r="C181" i="63"/>
  <c r="D158" i="61"/>
  <c r="C45" i="63"/>
  <c r="D165" i="61"/>
  <c r="C202" i="63"/>
  <c r="D242" i="61"/>
  <c r="D49" i="61"/>
  <c r="C16" i="63"/>
  <c r="C10" i="63"/>
  <c r="D25" i="61"/>
  <c r="C466" i="63"/>
  <c r="D196" i="61"/>
  <c r="D60" i="61"/>
  <c r="C432" i="63"/>
  <c r="E224" i="61"/>
  <c r="D473" i="63"/>
  <c r="D107" i="61"/>
  <c r="C306" i="63"/>
  <c r="E104" i="63"/>
  <c r="E110" i="47"/>
  <c r="C284" i="63"/>
  <c r="D19" i="61"/>
  <c r="B499" i="63"/>
  <c r="C328" i="61"/>
  <c r="D269" i="61"/>
  <c r="C71" i="63"/>
  <c r="C216" i="61"/>
  <c r="B471" i="63"/>
  <c r="C322" i="63"/>
  <c r="D171" i="61"/>
  <c r="C390" i="63"/>
  <c r="D443" i="61"/>
  <c r="D40" i="61"/>
  <c r="C427" i="63"/>
  <c r="E74" i="47"/>
  <c r="E68" i="63"/>
  <c r="E67" i="47"/>
  <c r="E61" i="63"/>
  <c r="C32" i="63"/>
  <c r="D113" i="61"/>
  <c r="C356" i="63"/>
  <c r="D307" i="61"/>
  <c r="C321" i="63"/>
  <c r="D167" i="61"/>
  <c r="C330" i="63"/>
  <c r="D203" i="61"/>
  <c r="C117" i="63"/>
  <c r="D453" i="61"/>
  <c r="E13" i="47"/>
  <c r="E7" i="63"/>
  <c r="C51" i="63"/>
  <c r="D189" i="61"/>
  <c r="AR56" i="47"/>
  <c r="C256" i="63"/>
  <c r="D458" i="61"/>
  <c r="AR28" i="47"/>
  <c r="B486" i="63"/>
  <c r="C276" i="61"/>
  <c r="E344" i="61"/>
  <c r="D503" i="63"/>
  <c r="C340" i="61"/>
  <c r="B502" i="63"/>
  <c r="C421" i="63"/>
  <c r="D16" i="61"/>
  <c r="D37" i="61"/>
  <c r="C13" i="63"/>
  <c r="C384" i="63"/>
  <c r="D419" i="61"/>
  <c r="C169" i="63"/>
  <c r="D110" i="61"/>
  <c r="B458" i="63"/>
  <c r="C164" i="61"/>
  <c r="AR62" i="47"/>
  <c r="D526" i="63"/>
  <c r="E436" i="61"/>
  <c r="C285" i="63"/>
  <c r="D23" i="61"/>
  <c r="E128" i="61"/>
  <c r="D449" i="63"/>
  <c r="D435" i="61"/>
  <c r="C388" i="63"/>
  <c r="D298" i="61"/>
  <c r="C216" i="63"/>
  <c r="E75" i="47"/>
  <c r="E69" i="63"/>
  <c r="D516" i="63"/>
  <c r="E396" i="61"/>
  <c r="E132" i="61"/>
  <c r="D450" i="63"/>
  <c r="B476" i="63"/>
  <c r="C236" i="61"/>
  <c r="AR114" i="47"/>
  <c r="D317" i="61"/>
  <c r="C83" i="63"/>
  <c r="D363" i="61"/>
  <c r="C370" i="63"/>
  <c r="D521" i="63"/>
  <c r="E416" i="61"/>
  <c r="AR54" i="47"/>
  <c r="C364" i="61"/>
  <c r="B508" i="63"/>
  <c r="D54" i="61"/>
  <c r="C155" i="63"/>
  <c r="B529" i="63"/>
  <c r="C448" i="61"/>
  <c r="D219" i="61"/>
  <c r="C334" i="63"/>
  <c r="AR144" i="47"/>
  <c r="D464" i="61"/>
  <c r="C533" i="63"/>
  <c r="B439" i="63"/>
  <c r="C88" i="61"/>
  <c r="C108" i="63"/>
  <c r="D417" i="61"/>
  <c r="E89" i="47"/>
  <c r="E83" i="63"/>
  <c r="C516" i="61"/>
  <c r="B546" i="63"/>
  <c r="E103" i="63"/>
  <c r="E109" i="47"/>
  <c r="E48" i="63"/>
  <c r="E54" i="47"/>
  <c r="C485" i="63"/>
  <c r="D272" i="61"/>
  <c r="AR29" i="47"/>
  <c r="E96" i="47"/>
  <c r="E90" i="63"/>
  <c r="E43" i="47"/>
  <c r="E37" i="63"/>
  <c r="C247" i="63"/>
  <c r="D422" i="61"/>
  <c r="C220" i="61"/>
  <c r="B472" i="63"/>
  <c r="D443" i="63"/>
  <c r="E104" i="61"/>
  <c r="C104" i="63"/>
  <c r="D401" i="61"/>
  <c r="C213" i="63"/>
  <c r="D286" i="61"/>
  <c r="C332" i="61"/>
  <c r="B500" i="63"/>
  <c r="C396" i="63"/>
  <c r="D467" i="61"/>
  <c r="C177" i="63"/>
  <c r="D142" i="61"/>
  <c r="D428" i="63"/>
  <c r="E44" i="61"/>
  <c r="C474" i="63"/>
  <c r="D228" i="61"/>
  <c r="AR140" i="47"/>
  <c r="D437" i="61"/>
  <c r="C113" i="63"/>
  <c r="E127" i="47"/>
  <c r="E121" i="63"/>
  <c r="AR104" i="47"/>
  <c r="E47" i="63"/>
  <c r="E53" i="47"/>
  <c r="D294" i="61"/>
  <c r="C215" i="63"/>
  <c r="D250" i="61"/>
  <c r="C204" i="63"/>
  <c r="E11" i="63"/>
  <c r="E17" i="47"/>
  <c r="C432" i="61"/>
  <c r="B525" i="63"/>
  <c r="AR123" i="47"/>
  <c r="C7" i="63"/>
  <c r="D13" i="61"/>
  <c r="AR61" i="47"/>
  <c r="E88" i="47"/>
  <c r="E82" i="63"/>
  <c r="D211" i="61"/>
  <c r="C332" i="63"/>
  <c r="D426" i="61"/>
  <c r="C248" i="63"/>
  <c r="D179" i="61"/>
  <c r="C324" i="63"/>
  <c r="D356" i="61"/>
  <c r="C506" i="63"/>
  <c r="B505" i="63"/>
  <c r="C352" i="61"/>
  <c r="D479" i="61"/>
  <c r="C399" i="63"/>
  <c r="D243" i="61"/>
  <c r="C340" i="63"/>
  <c r="C376" i="61"/>
  <c r="B511" i="63"/>
  <c r="C357" i="63"/>
  <c r="D311" i="61"/>
  <c r="C303" i="63"/>
  <c r="D95" i="61"/>
  <c r="C537" i="63"/>
  <c r="D480" i="61"/>
  <c r="C12" i="61"/>
  <c r="B420" i="63"/>
  <c r="C69" i="63"/>
  <c r="D261" i="61"/>
  <c r="D77" i="61"/>
  <c r="C23" i="63"/>
  <c r="B465" i="63"/>
  <c r="C192" i="61"/>
  <c r="D131" i="61"/>
  <c r="C312" i="63"/>
  <c r="D210" i="61"/>
  <c r="C194" i="63"/>
  <c r="D471" i="63"/>
  <c r="E216" i="61"/>
  <c r="C101" i="63"/>
  <c r="D389" i="61"/>
  <c r="B427" i="63"/>
  <c r="C40" i="61"/>
  <c r="C44" i="61"/>
  <c r="B428" i="63"/>
  <c r="E73" i="63"/>
  <c r="E79" i="47"/>
  <c r="D377" i="61"/>
  <c r="C98" i="63"/>
  <c r="C281" i="63"/>
  <c r="D7" i="61"/>
  <c r="C47" i="63"/>
  <c r="D173" i="61"/>
  <c r="AR38" i="47"/>
  <c r="D494" i="61"/>
  <c r="C265" i="63"/>
  <c r="AR134" i="47"/>
  <c r="C464" i="63"/>
  <c r="D188" i="61"/>
  <c r="E168" i="61"/>
  <c r="D459" i="63"/>
  <c r="D185" i="61"/>
  <c r="C50" i="63"/>
  <c r="D489" i="61"/>
  <c r="C126" i="63"/>
  <c r="AR117" i="47"/>
  <c r="E22" i="63"/>
  <c r="E28" i="47"/>
  <c r="D336" i="61"/>
  <c r="C501" i="63"/>
  <c r="B477" i="63"/>
  <c r="C240" i="61"/>
  <c r="C480" i="63"/>
  <c r="D252" i="61"/>
  <c r="D103" i="61"/>
  <c r="C305" i="63"/>
  <c r="C251" i="63"/>
  <c r="D438" i="61"/>
  <c r="C250" i="63"/>
  <c r="D434" i="61"/>
  <c r="C493" i="63"/>
  <c r="D304" i="61"/>
  <c r="D352" i="61"/>
  <c r="C505" i="63"/>
  <c r="D18" i="61"/>
  <c r="C146" i="63"/>
  <c r="AR68" i="47"/>
  <c r="E376" i="61"/>
  <c r="D511" i="63"/>
  <c r="B540" i="63"/>
  <c r="C492" i="61"/>
  <c r="D150" i="61"/>
  <c r="C179" i="63"/>
  <c r="C132" i="63"/>
  <c r="D513" i="61"/>
  <c r="D218" i="61"/>
  <c r="C196" i="63"/>
  <c r="E12" i="61"/>
  <c r="D420" i="63"/>
  <c r="C120" i="63"/>
  <c r="D465" i="61"/>
  <c r="D349" i="61"/>
  <c r="C91" i="63"/>
  <c r="C460" i="61"/>
  <c r="B532" i="63"/>
  <c r="E84" i="61"/>
  <c r="D438" i="63"/>
  <c r="D466" i="63"/>
  <c r="E196" i="61"/>
  <c r="D260" i="61"/>
  <c r="C482" i="63"/>
  <c r="E272" i="61"/>
  <c r="D485" i="63"/>
  <c r="C443" i="63"/>
  <c r="D104" i="61"/>
  <c r="E24" i="61"/>
  <c r="D423" i="63"/>
  <c r="E118" i="47"/>
  <c r="E112" i="63"/>
  <c r="E324" i="61"/>
  <c r="D498" i="63"/>
  <c r="D512" i="61"/>
  <c r="C545" i="63"/>
  <c r="E38" i="47"/>
  <c r="E32" i="63"/>
  <c r="D255" i="61"/>
  <c r="C343" i="63"/>
  <c r="C172" i="63"/>
  <c r="D122" i="61"/>
  <c r="C176" i="63"/>
  <c r="D138" i="61"/>
  <c r="C182" i="63"/>
  <c r="D162" i="61"/>
  <c r="D464" i="63"/>
  <c r="E188" i="61"/>
  <c r="C166" i="63"/>
  <c r="D98" i="61"/>
  <c r="E117" i="63"/>
  <c r="E123" i="47"/>
  <c r="C289" i="63"/>
  <c r="D39" i="61"/>
  <c r="AR12" i="47"/>
  <c r="C253" i="63"/>
  <c r="D446" i="61"/>
  <c r="B501" i="63"/>
  <c r="C336" i="61"/>
  <c r="C356" i="61"/>
  <c r="B506" i="63"/>
  <c r="E252" i="61"/>
  <c r="D480" i="63"/>
  <c r="E58" i="47"/>
  <c r="E52" i="63"/>
  <c r="D436" i="61"/>
  <c r="C526" i="63"/>
  <c r="E304" i="61"/>
  <c r="D493" i="63"/>
  <c r="E124" i="61"/>
  <c r="D448" i="63"/>
  <c r="E200" i="61"/>
  <c r="D467" i="63"/>
  <c r="E85" i="47"/>
  <c r="E79" i="63"/>
  <c r="D128" i="61"/>
  <c r="C449" i="63"/>
  <c r="E33" i="47"/>
  <c r="E27" i="63"/>
  <c r="C249" i="63"/>
  <c r="D430" i="61"/>
  <c r="D390" i="61"/>
  <c r="C239" i="63"/>
  <c r="C174" i="63"/>
  <c r="D130" i="61"/>
  <c r="D194" i="61"/>
  <c r="C190" i="63"/>
  <c r="AR126" i="47"/>
  <c r="B450" i="63"/>
  <c r="C132" i="61"/>
  <c r="D515" i="63"/>
  <c r="E392" i="61"/>
  <c r="E404" i="61"/>
  <c r="D518" i="63"/>
  <c r="C192" i="63"/>
  <c r="D202" i="61"/>
  <c r="B469" i="63"/>
  <c r="C208" i="61"/>
  <c r="D282" i="61"/>
  <c r="C212" i="63"/>
  <c r="C473" i="63"/>
  <c r="D224" i="61"/>
  <c r="AR107" i="47"/>
  <c r="AR79" i="47"/>
  <c r="E98" i="63"/>
  <c r="E104" i="47"/>
  <c r="E45" i="63"/>
  <c r="E51" i="47"/>
  <c r="D410" i="61"/>
  <c r="C244" i="63"/>
  <c r="D488" i="63"/>
  <c r="E284" i="61"/>
  <c r="E28" i="61"/>
  <c r="D424" i="63"/>
  <c r="C476" i="63"/>
  <c r="D236" i="61"/>
  <c r="B533" i="63"/>
  <c r="C464" i="61"/>
  <c r="D56" i="61"/>
  <c r="C431" i="63"/>
  <c r="C435" i="63"/>
  <c r="D72" i="61"/>
  <c r="D65" i="61"/>
  <c r="C20" i="63"/>
  <c r="C397" i="63"/>
  <c r="D471" i="61"/>
  <c r="E400" i="61"/>
  <c r="D517" i="63"/>
  <c r="E37" i="47"/>
  <c r="E31" i="63"/>
  <c r="C260" i="61"/>
  <c r="B482" i="63"/>
  <c r="C167" i="63"/>
  <c r="D102" i="61"/>
  <c r="C391" i="63"/>
  <c r="D447" i="61"/>
  <c r="D254" i="61"/>
  <c r="C205" i="63"/>
  <c r="D465" i="63"/>
  <c r="E192" i="61"/>
  <c r="D85" i="61"/>
  <c r="C25" i="63"/>
  <c r="C499" i="63"/>
  <c r="D328" i="61"/>
  <c r="B498" i="63"/>
  <c r="C324" i="61"/>
  <c r="E5" i="63"/>
  <c r="E11" i="47"/>
  <c r="D500" i="63"/>
  <c r="E332" i="61"/>
  <c r="C43" i="63"/>
  <c r="D157" i="61"/>
  <c r="D448" i="61"/>
  <c r="C529" i="63"/>
  <c r="AR127" i="47"/>
  <c r="C280" i="61"/>
  <c r="B487" i="63"/>
  <c r="E72" i="47"/>
  <c r="E66" i="63"/>
  <c r="C159" i="63"/>
  <c r="D70" i="61"/>
  <c r="D384" i="61"/>
  <c r="C513" i="63"/>
  <c r="E126" i="63"/>
  <c r="E132" i="47"/>
  <c r="E117" i="47"/>
  <c r="E111" i="63"/>
  <c r="D30" i="61"/>
  <c r="C149" i="63"/>
  <c r="C171" i="63"/>
  <c r="D118" i="61"/>
  <c r="D215" i="61"/>
  <c r="C333" i="63"/>
  <c r="AR88" i="47"/>
  <c r="D501" i="63"/>
  <c r="E336" i="61"/>
  <c r="AR120" i="47"/>
  <c r="AR27" i="47"/>
  <c r="AR94" i="47"/>
  <c r="B421" i="63"/>
  <c r="C16" i="61"/>
  <c r="E356" i="61"/>
  <c r="D506" i="63"/>
  <c r="E164" i="61"/>
  <c r="D458" i="63"/>
  <c r="E352" i="61"/>
  <c r="D505" i="63"/>
  <c r="C403" i="63"/>
  <c r="D495" i="61"/>
  <c r="E62" i="63"/>
  <c r="E68" i="47"/>
  <c r="B544" i="63"/>
  <c r="C508" i="61"/>
  <c r="E44" i="63"/>
  <c r="E50" i="47"/>
  <c r="E492" i="61"/>
  <c r="D540" i="63"/>
  <c r="D90" i="61"/>
  <c r="C164" i="63"/>
  <c r="C523" i="63"/>
  <c r="D424" i="61"/>
  <c r="B518" i="63"/>
  <c r="C404" i="61"/>
  <c r="D354" i="61"/>
  <c r="C230" i="63"/>
  <c r="D412" i="61"/>
  <c r="C520" i="63"/>
  <c r="E10" i="63"/>
  <c r="E16" i="47"/>
  <c r="D353" i="61"/>
  <c r="C92" i="63"/>
  <c r="D375" i="61"/>
  <c r="C373" i="63"/>
  <c r="C221" i="63"/>
  <c r="D318" i="61"/>
  <c r="B509" i="63"/>
  <c r="C368" i="61"/>
  <c r="D330" i="61"/>
  <c r="C224" i="63"/>
  <c r="C488" i="63"/>
  <c r="D284" i="61"/>
  <c r="E138" i="63"/>
  <c r="E144" i="47"/>
  <c r="C28" i="61"/>
  <c r="B424" i="63"/>
  <c r="C235" i="63"/>
  <c r="D374" i="61"/>
  <c r="E108" i="63"/>
  <c r="E114" i="47"/>
  <c r="D120" i="61"/>
  <c r="C447" i="63"/>
  <c r="C72" i="61"/>
  <c r="B435" i="63"/>
  <c r="C74" i="63"/>
  <c r="D281" i="61"/>
  <c r="AR16" i="47"/>
  <c r="C438" i="63"/>
  <c r="D84" i="61"/>
  <c r="B432" i="63"/>
  <c r="C60" i="61"/>
  <c r="C75" i="63"/>
  <c r="D285" i="61"/>
  <c r="B443" i="63"/>
  <c r="C104" i="61"/>
  <c r="D24" i="61"/>
  <c r="C423" i="63"/>
  <c r="C112" i="63"/>
  <c r="D433" i="61"/>
  <c r="E101" i="63"/>
  <c r="E107" i="47"/>
  <c r="E143" i="47"/>
  <c r="E137" i="63"/>
  <c r="E40" i="61"/>
  <c r="D427" i="63"/>
  <c r="B454" i="63"/>
  <c r="C148" i="61"/>
  <c r="D529" i="63"/>
  <c r="E448" i="61"/>
  <c r="D469" i="61"/>
  <c r="C121" i="63"/>
  <c r="C514" i="63"/>
  <c r="D388" i="61"/>
  <c r="D280" i="61"/>
  <c r="C487" i="63"/>
  <c r="E101" i="47"/>
  <c r="E95" i="63"/>
  <c r="D253" i="61"/>
  <c r="C67" i="63"/>
  <c r="E372" i="61"/>
  <c r="D510" i="63"/>
  <c r="D513" i="63"/>
  <c r="E384" i="61"/>
  <c r="C353" i="63"/>
  <c r="D295" i="61"/>
  <c r="C248" i="61"/>
  <c r="B479" i="63"/>
  <c r="C201" i="63"/>
  <c r="D238" i="61"/>
  <c r="E120" i="47"/>
  <c r="E114" i="63"/>
  <c r="AR58" i="47"/>
  <c r="B493" i="63"/>
  <c r="C304" i="61"/>
  <c r="C323" i="63"/>
  <c r="D175" i="61"/>
  <c r="B467" i="63"/>
  <c r="C200" i="61"/>
  <c r="C539" i="63"/>
  <c r="D488" i="61"/>
  <c r="D301" i="61"/>
  <c r="C79" i="63"/>
  <c r="E120" i="63"/>
  <c r="E126" i="47"/>
  <c r="D71" i="61"/>
  <c r="C297" i="63"/>
  <c r="B488" i="63"/>
  <c r="C284" i="61"/>
  <c r="E81" i="47"/>
  <c r="E75" i="63"/>
  <c r="E56" i="61"/>
  <c r="D431" i="63"/>
  <c r="C191" i="63"/>
  <c r="D198" i="61"/>
  <c r="D239" i="61"/>
  <c r="C339" i="63"/>
  <c r="D324" i="61"/>
  <c r="C498" i="63"/>
  <c r="E280" i="61"/>
  <c r="D487" i="63"/>
  <c r="D365" i="61"/>
  <c r="C95" i="63"/>
  <c r="C66" i="63"/>
  <c r="D249" i="61"/>
  <c r="C183" i="63"/>
  <c r="D166" i="61"/>
  <c r="C11" i="63"/>
  <c r="D29" i="61"/>
  <c r="B464" i="63"/>
  <c r="C188" i="61"/>
  <c r="D522" i="63"/>
  <c r="E420" i="61"/>
  <c r="B459" i="63"/>
  <c r="C168" i="61"/>
  <c r="D9" i="61"/>
  <c r="C6" i="63"/>
  <c r="D247" i="61"/>
  <c r="C341" i="63"/>
  <c r="D441" i="61"/>
  <c r="C114" i="63"/>
  <c r="C524" i="63"/>
  <c r="D428" i="61"/>
  <c r="C88" i="63"/>
  <c r="D337" i="61"/>
  <c r="E488" i="61"/>
  <c r="D539" i="63"/>
  <c r="AR45" i="47"/>
  <c r="C80" i="63"/>
  <c r="D305" i="61"/>
  <c r="C62" i="63"/>
  <c r="D233" i="61"/>
  <c r="AR50" i="47"/>
  <c r="C96" i="61"/>
  <c r="B441" i="63"/>
  <c r="E34" i="47"/>
  <c r="E28" i="63"/>
  <c r="E180" i="61"/>
  <c r="D462" i="63"/>
  <c r="D12" i="61"/>
  <c r="C420" i="63"/>
  <c r="C450" i="63"/>
  <c r="D132" i="61"/>
  <c r="D520" i="63"/>
  <c r="E412" i="61"/>
  <c r="D28" i="61"/>
  <c r="C424" i="63"/>
  <c r="D447" i="63"/>
  <c r="E120" i="61"/>
  <c r="E87" i="63"/>
  <c r="E93" i="47"/>
  <c r="C386" i="63"/>
  <c r="D427" i="61"/>
  <c r="E512" i="61"/>
  <c r="D545" i="63"/>
  <c r="C360" i="63"/>
  <c r="D323" i="61"/>
  <c r="E64" i="47"/>
  <c r="E58" i="63"/>
  <c r="D359" i="61"/>
  <c r="C369" i="63"/>
  <c r="D235" i="61"/>
  <c r="C338" i="63"/>
  <c r="D434" i="63"/>
  <c r="E68" i="61"/>
  <c r="AR70" i="47"/>
  <c r="D460" i="61"/>
  <c r="C532" i="63"/>
  <c r="C283" i="63"/>
  <c r="D15" i="61"/>
  <c r="D155" i="61"/>
  <c r="C318" i="63"/>
  <c r="D435" i="63"/>
  <c r="E72" i="61"/>
  <c r="D369" i="61"/>
  <c r="C96" i="63"/>
  <c r="D419" i="63"/>
  <c r="E8" i="61"/>
  <c r="E29" i="47"/>
  <c r="E23" i="63"/>
  <c r="D83" i="61"/>
  <c r="C300" i="63"/>
  <c r="C87" i="63"/>
  <c r="D333" i="61"/>
  <c r="D192" i="61"/>
  <c r="C465" i="63"/>
  <c r="E147" i="47"/>
  <c r="E141" i="63"/>
  <c r="C24" i="61"/>
  <c r="B423" i="63"/>
  <c r="B536" i="63"/>
  <c r="C476" i="61"/>
  <c r="AR11" i="47"/>
  <c r="C428" i="63"/>
  <c r="D44" i="61"/>
  <c r="E140" i="47"/>
  <c r="E134" i="63"/>
  <c r="C238" i="63"/>
  <c r="D386" i="61"/>
  <c r="AR101" i="47"/>
  <c r="E73" i="47"/>
  <c r="E67" i="63"/>
  <c r="D278" i="61"/>
  <c r="C211" i="63"/>
  <c r="AR95" i="47"/>
  <c r="D497" i="63"/>
  <c r="E320" i="61"/>
  <c r="C459" i="63"/>
  <c r="D168" i="61"/>
  <c r="C312" i="61"/>
  <c r="B495" i="63"/>
  <c r="AR69" i="47"/>
  <c r="E12" i="47"/>
  <c r="E6" i="63"/>
  <c r="D135" i="61"/>
  <c r="C313" i="63"/>
  <c r="D11" i="61"/>
  <c r="C282" i="63"/>
  <c r="E27" i="47"/>
  <c r="E21" i="63"/>
  <c r="E88" i="63"/>
  <c r="E94" i="47"/>
  <c r="D507" i="61"/>
  <c r="C406" i="63"/>
  <c r="C260" i="63"/>
  <c r="D474" i="61"/>
  <c r="D200" i="61"/>
  <c r="C467" i="63"/>
  <c r="C365" i="63"/>
  <c r="D343" i="61"/>
  <c r="C329" i="63"/>
  <c r="D199" i="61"/>
  <c r="AR129" i="47"/>
  <c r="D79" i="61"/>
  <c r="C299" i="63"/>
  <c r="AR85" i="47"/>
  <c r="E45" i="47"/>
  <c r="E39" i="63"/>
  <c r="C44" i="63"/>
  <c r="D161" i="61"/>
  <c r="D444" i="63"/>
  <c r="E108" i="61"/>
  <c r="C441" i="63"/>
  <c r="D96" i="61"/>
  <c r="C28" i="63"/>
  <c r="D97" i="61"/>
  <c r="C9" i="63"/>
  <c r="D21" i="61"/>
  <c r="B542" i="63"/>
  <c r="C500" i="61"/>
  <c r="C462" i="63"/>
  <c r="D180" i="61"/>
  <c r="C165" i="63"/>
  <c r="D94" i="61"/>
  <c r="E468" i="61"/>
  <c r="D534" i="63"/>
  <c r="B520" i="63"/>
  <c r="C412" i="61"/>
  <c r="D208" i="61"/>
  <c r="C469" i="63"/>
  <c r="C288" i="63"/>
  <c r="D35" i="61"/>
  <c r="E64" i="63"/>
  <c r="E70" i="47"/>
  <c r="D368" i="61"/>
  <c r="C509" i="63"/>
  <c r="D316" i="61"/>
  <c r="C496" i="63"/>
  <c r="D273" i="61"/>
  <c r="C72" i="63"/>
  <c r="D335" i="61"/>
  <c r="C363" i="63"/>
  <c r="D266" i="61"/>
  <c r="C208" i="63"/>
  <c r="D69" i="61"/>
  <c r="C21" i="63"/>
  <c r="D267" i="61"/>
  <c r="C346" i="63"/>
  <c r="D191" i="61"/>
  <c r="C327" i="63"/>
  <c r="D398" i="61"/>
  <c r="C241" i="63"/>
  <c r="D68" i="61"/>
  <c r="C434" i="63"/>
  <c r="C52" i="63"/>
  <c r="D193" i="61"/>
  <c r="C81" i="63"/>
  <c r="D309" i="61"/>
  <c r="E123" i="63"/>
  <c r="E129" i="47"/>
  <c r="C108" i="61"/>
  <c r="B444" i="63"/>
  <c r="C540" i="63"/>
  <c r="D492" i="61"/>
  <c r="D441" i="63"/>
  <c r="E96" i="61"/>
  <c r="E9" i="63"/>
  <c r="E15" i="47"/>
  <c r="B462" i="63"/>
  <c r="C180" i="61"/>
  <c r="D468" i="61"/>
  <c r="C534" i="63"/>
  <c r="C515" i="63"/>
  <c r="D392" i="61"/>
  <c r="D462" i="61"/>
  <c r="C257" i="63"/>
  <c r="D241" i="61"/>
  <c r="C64" i="63"/>
  <c r="E124" i="63"/>
  <c r="E130" i="47"/>
  <c r="C508" i="63"/>
  <c r="D364" i="61"/>
  <c r="C73" i="63"/>
  <c r="D277" i="61"/>
  <c r="AR49" i="47"/>
  <c r="D160" i="61"/>
  <c r="C457" i="63"/>
  <c r="D26" i="61"/>
  <c r="C148" i="63"/>
  <c r="C510" i="63"/>
  <c r="D372" i="61"/>
  <c r="C384" i="61"/>
  <c r="B513" i="63"/>
  <c r="D320" i="61"/>
  <c r="C497" i="63"/>
  <c r="D248" i="61"/>
  <c r="C479" i="63"/>
  <c r="D82" i="61"/>
  <c r="C162" i="63"/>
  <c r="D137" i="61"/>
  <c r="C38" i="63"/>
  <c r="E460" i="61"/>
  <c r="D532" i="63"/>
  <c r="C504" i="61"/>
  <c r="B543" i="63"/>
  <c r="E78" i="47"/>
  <c r="E72" i="63"/>
  <c r="C358" i="63"/>
  <c r="D315" i="61"/>
  <c r="B431" i="63"/>
  <c r="C56" i="61"/>
  <c r="C189" i="63"/>
  <c r="D190" i="61"/>
  <c r="C188" i="63"/>
  <c r="D186" i="61"/>
  <c r="AR80" i="47"/>
  <c r="E102" i="47"/>
  <c r="E96" i="63"/>
  <c r="D451" i="61"/>
  <c r="C392" i="63"/>
  <c r="C24" i="63"/>
  <c r="D81" i="61"/>
  <c r="E77" i="63"/>
  <c r="E83" i="47"/>
  <c r="D481" i="61"/>
  <c r="C124" i="63"/>
  <c r="D475" i="61"/>
  <c r="C398" i="63"/>
  <c r="AR93" i="47"/>
  <c r="AR31" i="47"/>
  <c r="C153" i="63"/>
  <c r="D46" i="61"/>
  <c r="C161" i="63"/>
  <c r="D78" i="61"/>
  <c r="D393" i="61"/>
  <c r="C102" i="63"/>
  <c r="C475" i="63"/>
  <c r="D232" i="61"/>
  <c r="E49" i="47"/>
  <c r="E43" i="63"/>
  <c r="C160" i="61"/>
  <c r="B457" i="63"/>
  <c r="C442" i="63"/>
  <c r="D100" i="61"/>
  <c r="D303" i="61"/>
  <c r="C355" i="63"/>
  <c r="C240" i="63"/>
  <c r="D394" i="61"/>
  <c r="C354" i="63"/>
  <c r="D299" i="61"/>
  <c r="D341" i="61"/>
  <c r="C89" i="63"/>
  <c r="C372" i="61"/>
  <c r="B510" i="63"/>
  <c r="B519" i="63"/>
  <c r="C408" i="61"/>
  <c r="AR121" i="47"/>
  <c r="C522" i="63"/>
  <c r="D420" i="61"/>
  <c r="E312" i="61"/>
  <c r="D495" i="63"/>
  <c r="C63" i="63"/>
  <c r="D237" i="61"/>
  <c r="D22" i="61"/>
  <c r="C147" i="63"/>
  <c r="C264" i="63"/>
  <c r="D490" i="61"/>
  <c r="C374" i="63"/>
  <c r="D379" i="61"/>
  <c r="D358" i="61"/>
  <c r="C231" i="63"/>
  <c r="C252" i="61"/>
  <c r="B480" i="63"/>
  <c r="C491" i="63"/>
  <c r="D296" i="61"/>
  <c r="C382" i="63"/>
  <c r="D411" i="61"/>
  <c r="C123" i="63"/>
  <c r="D477" i="61"/>
  <c r="C444" i="61"/>
  <c r="B528" i="63"/>
  <c r="C402" i="63"/>
  <c r="D491" i="61"/>
  <c r="E86" i="47"/>
  <c r="E80" i="63"/>
  <c r="D508" i="61"/>
  <c r="C544" i="63"/>
  <c r="AR34" i="47"/>
  <c r="D127" i="61"/>
  <c r="C311" i="63"/>
  <c r="AR99" i="47"/>
  <c r="D382" i="61"/>
  <c r="C237" i="63"/>
  <c r="B534" i="63"/>
  <c r="C468" i="61"/>
  <c r="B515" i="63"/>
  <c r="C392" i="61"/>
  <c r="C163" i="63"/>
  <c r="D86" i="61"/>
  <c r="C440" i="63"/>
  <c r="D92" i="61"/>
  <c r="C337" i="63"/>
  <c r="D231" i="61"/>
  <c r="E80" i="47"/>
  <c r="E74" i="63"/>
  <c r="AR130" i="47"/>
  <c r="D109" i="61"/>
  <c r="C31" i="63"/>
  <c r="B419" i="63"/>
  <c r="C8" i="61"/>
  <c r="D355" i="61"/>
  <c r="C368" i="63"/>
  <c r="C160" i="63"/>
  <c r="D74" i="61"/>
  <c r="E116" i="61"/>
  <c r="D446" i="63"/>
  <c r="E31" i="47"/>
  <c r="E25" i="63"/>
  <c r="D214" i="61"/>
  <c r="C195" i="63"/>
  <c r="C5" i="63"/>
  <c r="D5" i="61"/>
  <c r="D483" i="61"/>
  <c r="C400" i="63"/>
  <c r="D454" i="63"/>
  <c r="E148" i="61"/>
  <c r="AR64" i="47"/>
  <c r="E388" i="61"/>
  <c r="D514" i="63"/>
  <c r="AR73" i="47"/>
  <c r="D20" i="61"/>
  <c r="C422" i="63"/>
  <c r="B496" i="63"/>
  <c r="C316" i="61"/>
  <c r="D454" i="61"/>
  <c r="C255" i="63"/>
  <c r="E504" i="61"/>
  <c r="D543" i="63"/>
  <c r="C483" i="63"/>
  <c r="D264" i="61"/>
  <c r="AR30" i="47"/>
  <c r="C472" i="61"/>
  <c r="B535" i="63"/>
  <c r="C419" i="63"/>
  <c r="D8" i="61"/>
  <c r="B446" i="63"/>
  <c r="C116" i="61"/>
  <c r="B461" i="63"/>
  <c r="C176" i="61"/>
  <c r="C536" i="63"/>
  <c r="D476" i="61"/>
  <c r="F3" i="63"/>
  <c r="F1" i="63" s="1"/>
  <c r="C512" i="61"/>
  <c r="B545" i="63"/>
  <c r="C122" i="63"/>
  <c r="D473" i="61"/>
  <c r="D67" i="61"/>
  <c r="C296" i="63"/>
  <c r="C454" i="63"/>
  <c r="D148" i="61"/>
  <c r="AR146" i="47"/>
  <c r="AR60" i="47"/>
  <c r="D422" i="63"/>
  <c r="E20" i="61"/>
  <c r="E95" i="47"/>
  <c r="E89" i="63"/>
  <c r="D361" i="61"/>
  <c r="C94" i="63"/>
  <c r="C115" i="63"/>
  <c r="D445" i="61"/>
  <c r="B497" i="63"/>
  <c r="C320" i="61"/>
  <c r="E248" i="61"/>
  <c r="D479" i="63"/>
  <c r="D64" i="61"/>
  <c r="C433" i="63"/>
  <c r="D246" i="61"/>
  <c r="C203" i="63"/>
  <c r="B524" i="63"/>
  <c r="C428" i="61"/>
  <c r="C504" i="63"/>
  <c r="D348" i="61"/>
  <c r="C68" i="61"/>
  <c r="B434" i="63"/>
  <c r="C407" i="63"/>
  <c r="D511" i="61"/>
  <c r="D470" i="61"/>
  <c r="C259" i="63"/>
  <c r="B539" i="63"/>
  <c r="C488" i="61"/>
  <c r="C528" i="63"/>
  <c r="D444" i="61"/>
  <c r="D459" i="61"/>
  <c r="C394" i="63"/>
  <c r="D141" i="61"/>
  <c r="C39" i="63"/>
  <c r="D496" i="61"/>
  <c r="C541" i="63"/>
  <c r="C444" i="63"/>
  <c r="D108" i="61"/>
  <c r="C310" i="63"/>
  <c r="D123" i="61"/>
  <c r="E99" i="47"/>
  <c r="E93" i="63"/>
  <c r="D152" i="61"/>
  <c r="C455" i="63"/>
  <c r="E142" i="63"/>
  <c r="E148" i="47"/>
  <c r="D126" i="61"/>
  <c r="C173" i="63"/>
  <c r="D212" i="61"/>
  <c r="C470" i="63"/>
  <c r="C351" i="63"/>
  <c r="D287" i="61"/>
  <c r="G33" i="47" l="1"/>
  <c r="B33" i="47" s="1"/>
  <c r="D33" i="47" s="1"/>
  <c r="G124" i="47"/>
  <c r="B124" i="47" s="1"/>
  <c r="C124" i="47" s="1"/>
  <c r="AM124" i="47" s="1"/>
  <c r="G119" i="47"/>
  <c r="B119" i="47" s="1"/>
  <c r="C119" i="47" s="1"/>
  <c r="AM119" i="47" s="1"/>
  <c r="G44" i="47"/>
  <c r="B44" i="47" s="1"/>
  <c r="C44" i="47" s="1"/>
  <c r="AM44" i="47" s="1"/>
  <c r="G116" i="47"/>
  <c r="B116" i="47" s="1"/>
  <c r="D116" i="47" s="1"/>
  <c r="G97" i="47"/>
  <c r="B97" i="47" s="1"/>
  <c r="D97" i="47" s="1"/>
  <c r="G51" i="47"/>
  <c r="B51" i="47" s="1"/>
  <c r="D51" i="47" s="1"/>
  <c r="G84" i="47"/>
  <c r="B84" i="47" s="1"/>
  <c r="C84" i="47" s="1"/>
  <c r="AM84" i="47" s="1"/>
  <c r="G37" i="47"/>
  <c r="B37" i="47" s="1"/>
  <c r="C37" i="47" s="1"/>
  <c r="AM37" i="47" s="1"/>
  <c r="G105" i="47"/>
  <c r="B105" i="47" s="1"/>
  <c r="C105" i="47" s="1"/>
  <c r="AM105" i="47" s="1"/>
  <c r="G131" i="47"/>
  <c r="B131" i="47" s="1"/>
  <c r="D131" i="47" s="1"/>
  <c r="G26" i="47"/>
  <c r="B26" i="47" s="1"/>
  <c r="D26" i="47" s="1"/>
  <c r="G108" i="47"/>
  <c r="B108" i="47" s="1"/>
  <c r="D108" i="47" s="1"/>
  <c r="G41" i="47"/>
  <c r="B41" i="47" s="1"/>
  <c r="D41" i="47" s="1"/>
  <c r="G118" i="47"/>
  <c r="B118" i="47" s="1"/>
  <c r="D118" i="47" s="1"/>
  <c r="G106" i="47"/>
  <c r="B106" i="47" s="1"/>
  <c r="C106" i="47" s="1"/>
  <c r="AM106" i="47" s="1"/>
  <c r="G71" i="47"/>
  <c r="B71" i="47" s="1"/>
  <c r="D71" i="47" s="1"/>
  <c r="G132" i="47"/>
  <c r="B132" i="47" s="1"/>
  <c r="D132" i="47" s="1"/>
  <c r="G78" i="47"/>
  <c r="B78" i="47" s="1"/>
  <c r="C78" i="47" s="1"/>
  <c r="AM78" i="47" s="1"/>
  <c r="G86" i="47"/>
  <c r="B86" i="47" s="1"/>
  <c r="D86" i="47" s="1"/>
  <c r="G147" i="47"/>
  <c r="B147" i="47" s="1"/>
  <c r="C147" i="47" s="1"/>
  <c r="AM147" i="47" s="1"/>
  <c r="G17" i="47"/>
  <c r="B17" i="47" s="1"/>
  <c r="C17" i="47" s="1"/>
  <c r="AM17" i="47" s="1"/>
  <c r="G141" i="47"/>
  <c r="B141" i="47" s="1"/>
  <c r="C141" i="47" s="1"/>
  <c r="AM141" i="47" s="1"/>
  <c r="G40" i="47"/>
  <c r="B40" i="47" s="1"/>
  <c r="C40" i="47" s="1"/>
  <c r="AM40" i="47" s="1"/>
  <c r="G47" i="47"/>
  <c r="B47" i="47" s="1"/>
  <c r="D47" i="47" s="1"/>
  <c r="G83" i="47"/>
  <c r="B83" i="47" s="1"/>
  <c r="D83" i="47" s="1"/>
  <c r="G42" i="47"/>
  <c r="B42" i="47" s="1"/>
  <c r="C42" i="47" s="1"/>
  <c r="AM42" i="47" s="1"/>
  <c r="G114" i="47"/>
  <c r="B114" i="47" s="1"/>
  <c r="C114" i="47" s="1"/>
  <c r="AM114" i="47" s="1"/>
  <c r="G102" i="47"/>
  <c r="B102" i="47" s="1"/>
  <c r="D102" i="47" s="1"/>
  <c r="G72" i="47"/>
  <c r="B72" i="47" s="1"/>
  <c r="C72" i="47" s="1"/>
  <c r="AM72" i="47" s="1"/>
  <c r="G110" i="47"/>
  <c r="B110" i="47" s="1"/>
  <c r="D110" i="47" s="1"/>
  <c r="G96" i="47"/>
  <c r="B96" i="47" s="1"/>
  <c r="D96" i="47" s="1"/>
  <c r="G143" i="47"/>
  <c r="B143" i="47" s="1"/>
  <c r="D143" i="47" s="1"/>
  <c r="G66" i="47"/>
  <c r="B66" i="47" s="1"/>
  <c r="C66" i="47" s="1"/>
  <c r="AM66" i="47" s="1"/>
  <c r="G32" i="47"/>
  <c r="B32" i="47" s="1"/>
  <c r="C32" i="47" s="1"/>
  <c r="AM32" i="47" s="1"/>
  <c r="G23" i="47"/>
  <c r="B23" i="47" s="1"/>
  <c r="D23" i="47" s="1"/>
  <c r="G98" i="47"/>
  <c r="B98" i="47" s="1"/>
  <c r="D98" i="47" s="1"/>
  <c r="G34" i="47"/>
  <c r="B34" i="47" s="1"/>
  <c r="C34" i="47" s="1"/>
  <c r="AM34" i="47" s="1"/>
  <c r="G89" i="47"/>
  <c r="B89" i="47" s="1"/>
  <c r="C89" i="47" s="1"/>
  <c r="AM89" i="47" s="1"/>
  <c r="G111" i="47"/>
  <c r="B111" i="47" s="1"/>
  <c r="C111" i="47" s="1"/>
  <c r="AM111" i="47" s="1"/>
  <c r="G148" i="47"/>
  <c r="B148" i="47" s="1"/>
  <c r="D148" i="47" s="1"/>
  <c r="G100" i="47"/>
  <c r="B100" i="47" s="1"/>
  <c r="C100" i="47" s="1"/>
  <c r="AM100" i="47" s="1"/>
  <c r="G109" i="47"/>
  <c r="B109" i="47" s="1"/>
  <c r="D109" i="47" s="1"/>
  <c r="G94" i="47"/>
  <c r="B94" i="47" s="1"/>
  <c r="C94" i="47" s="1"/>
  <c r="AM94" i="47" s="1"/>
  <c r="G21" i="47"/>
  <c r="B21" i="47" s="1"/>
  <c r="D21" i="47" s="1"/>
  <c r="G92" i="47"/>
  <c r="B92" i="47" s="1"/>
  <c r="C92" i="47" s="1"/>
  <c r="AM92" i="47" s="1"/>
  <c r="G117" i="47"/>
  <c r="B117" i="47" s="1"/>
  <c r="D117" i="47" s="1"/>
  <c r="G29" i="47"/>
  <c r="B29" i="47" s="1"/>
  <c r="D29" i="47" s="1"/>
  <c r="G14" i="47"/>
  <c r="B14" i="47" s="1"/>
  <c r="C14" i="47" s="1"/>
  <c r="AM14" i="47" s="1"/>
  <c r="G79" i="47"/>
  <c r="B79" i="47" s="1"/>
  <c r="G73" i="47"/>
  <c r="B73" i="47" s="1"/>
  <c r="G28" i="47"/>
  <c r="B28" i="47" s="1"/>
  <c r="G91" i="47"/>
  <c r="B91" i="47" s="1"/>
  <c r="G43" i="47"/>
  <c r="B43" i="47" s="1"/>
  <c r="G113" i="47"/>
  <c r="B113" i="47" s="1"/>
  <c r="G101" i="47"/>
  <c r="B101" i="47" s="1"/>
  <c r="G56" i="47"/>
  <c r="B56" i="47" s="1"/>
  <c r="G36" i="47"/>
  <c r="B36" i="47" s="1"/>
  <c r="G57" i="47"/>
  <c r="B57" i="47" s="1"/>
  <c r="G12" i="47"/>
  <c r="B12" i="47" s="1"/>
  <c r="G123" i="47"/>
  <c r="B123" i="47" s="1"/>
  <c r="G58" i="47"/>
  <c r="B58" i="47" s="1"/>
  <c r="G137" i="47"/>
  <c r="B137" i="47" s="1"/>
  <c r="G55" i="47"/>
  <c r="B55" i="47" s="1"/>
  <c r="G125" i="47"/>
  <c r="B125" i="47" s="1"/>
  <c r="G24" i="47"/>
  <c r="B24" i="47" s="1"/>
  <c r="G128" i="47"/>
  <c r="B128" i="47" s="1"/>
  <c r="G87" i="47"/>
  <c r="B87" i="47" s="1"/>
  <c r="G15" i="47"/>
  <c r="B15" i="47" s="1"/>
  <c r="G135" i="47"/>
  <c r="B135" i="47" s="1"/>
  <c r="G18" i="47"/>
  <c r="B18" i="47" s="1"/>
  <c r="G133" i="47"/>
  <c r="B133" i="47" s="1"/>
  <c r="G60" i="47"/>
  <c r="B60" i="47" s="1"/>
  <c r="G136" i="47"/>
  <c r="B136" i="47" s="1"/>
  <c r="G121" i="47"/>
  <c r="B121" i="47" s="1"/>
  <c r="G142" i="47"/>
  <c r="B142" i="47" s="1"/>
  <c r="G145" i="47"/>
  <c r="B145" i="47" s="1"/>
  <c r="G39" i="47"/>
  <c r="B39" i="47" s="1"/>
  <c r="G45" i="47"/>
  <c r="B45" i="47" s="1"/>
  <c r="G70" i="47"/>
  <c r="B70" i="47" s="1"/>
  <c r="G88" i="47"/>
  <c r="B88" i="47" s="1"/>
  <c r="G50" i="47"/>
  <c r="B50" i="47" s="1"/>
  <c r="G81" i="47"/>
  <c r="B81" i="47" s="1"/>
  <c r="G134" i="47"/>
  <c r="B134" i="47" s="1"/>
  <c r="G138" i="47"/>
  <c r="B138" i="47" s="1"/>
  <c r="G112" i="47"/>
  <c r="B112" i="47" s="1"/>
  <c r="G11" i="47"/>
  <c r="B11" i="47" s="1"/>
  <c r="G82" i="47"/>
  <c r="B82" i="47" s="1"/>
  <c r="G64" i="47"/>
  <c r="B64" i="47" s="1"/>
  <c r="G68" i="47"/>
  <c r="B68" i="47" s="1"/>
  <c r="G13" i="47"/>
  <c r="B13" i="47" s="1"/>
  <c r="G59" i="47"/>
  <c r="B59" i="47" s="1"/>
  <c r="G65" i="47"/>
  <c r="B65" i="47" s="1"/>
  <c r="G30" i="47"/>
  <c r="B30" i="47" s="1"/>
  <c r="G146" i="47"/>
  <c r="B146" i="47" s="1"/>
  <c r="G31" i="47"/>
  <c r="B31" i="47" s="1"/>
  <c r="G85" i="47"/>
  <c r="B85" i="47" s="1"/>
  <c r="G107" i="47"/>
  <c r="B107" i="47" s="1"/>
  <c r="G67" i="47"/>
  <c r="B67" i="47" s="1"/>
  <c r="G20" i="47"/>
  <c r="B20" i="47" s="1"/>
  <c r="G99" i="47"/>
  <c r="B99" i="47" s="1"/>
  <c r="G16" i="47"/>
  <c r="B16" i="47" s="1"/>
  <c r="G22" i="47"/>
  <c r="B22" i="47" s="1"/>
  <c r="L1" i="112"/>
  <c r="S1" i="47"/>
  <c r="G1" i="61"/>
  <c r="G48" i="47"/>
  <c r="B48" i="47" s="1"/>
  <c r="G93" i="47"/>
  <c r="B93" i="47" s="1"/>
  <c r="G127" i="47"/>
  <c r="B127" i="47" s="1"/>
  <c r="G144" i="47"/>
  <c r="B144" i="47" s="1"/>
  <c r="G104" i="47"/>
  <c r="B104" i="47" s="1"/>
  <c r="G76" i="47"/>
  <c r="B76" i="47" s="1"/>
  <c r="G61" i="47"/>
  <c r="B61" i="47" s="1"/>
  <c r="G115" i="47"/>
  <c r="B115" i="47" s="1"/>
  <c r="G129" i="47"/>
  <c r="B129" i="47" s="1"/>
  <c r="G27" i="47"/>
  <c r="B27" i="47" s="1"/>
  <c r="G25" i="47"/>
  <c r="B25" i="47" s="1"/>
  <c r="G19" i="47"/>
  <c r="B19" i="47" s="1"/>
  <c r="G120" i="47"/>
  <c r="B120" i="47" s="1"/>
  <c r="G54" i="47"/>
  <c r="B54" i="47" s="1"/>
  <c r="G130" i="47"/>
  <c r="B130" i="47" s="1"/>
  <c r="G140" i="47"/>
  <c r="B140" i="47" s="1"/>
  <c r="G38" i="47"/>
  <c r="B38" i="47" s="1"/>
  <c r="G53" i="47"/>
  <c r="B53" i="47" s="1"/>
  <c r="G95" i="47"/>
  <c r="B95" i="47" s="1"/>
  <c r="G80" i="47"/>
  <c r="B80" i="47" s="1"/>
  <c r="G75" i="47"/>
  <c r="B75" i="47" s="1"/>
  <c r="G62" i="47"/>
  <c r="B62" i="47" s="1"/>
  <c r="G74" i="47"/>
  <c r="B74" i="47" s="1"/>
  <c r="G122" i="47"/>
  <c r="B122" i="47" s="1"/>
  <c r="G52" i="47"/>
  <c r="B52" i="47" s="1"/>
  <c r="G90" i="47"/>
  <c r="B90" i="47" s="1"/>
  <c r="G49" i="47"/>
  <c r="B49" i="47" s="1"/>
  <c r="G69" i="47"/>
  <c r="B69" i="47" s="1"/>
  <c r="G103" i="47"/>
  <c r="B103" i="47" s="1"/>
  <c r="G63" i="47"/>
  <c r="B63" i="47" s="1"/>
  <c r="G46" i="47"/>
  <c r="B46" i="47" s="1"/>
  <c r="G35" i="47"/>
  <c r="B35" i="47" s="1"/>
  <c r="G126" i="47"/>
  <c r="B126" i="47" s="1"/>
  <c r="G139" i="47"/>
  <c r="B139" i="47" s="1"/>
  <c r="G77" i="47"/>
  <c r="B77" i="47" s="1"/>
  <c r="C33" i="47" l="1"/>
  <c r="AM33" i="47" s="1"/>
  <c r="D124" i="47"/>
  <c r="D119" i="47"/>
  <c r="C116" i="47"/>
  <c r="AM116" i="47" s="1"/>
  <c r="D44" i="47"/>
  <c r="C97" i="47"/>
  <c r="AM97" i="47" s="1"/>
  <c r="C51" i="47"/>
  <c r="AM51" i="47" s="1"/>
  <c r="D37" i="47"/>
  <c r="D84" i="47"/>
  <c r="C26" i="47"/>
  <c r="AM26" i="47" s="1"/>
  <c r="C41" i="47"/>
  <c r="AM41" i="47" s="1"/>
  <c r="D105" i="47"/>
  <c r="C131" i="47"/>
  <c r="AM131" i="47" s="1"/>
  <c r="D17" i="47"/>
  <c r="C132" i="47"/>
  <c r="AM132" i="47" s="1"/>
  <c r="D106" i="47"/>
  <c r="C108" i="47"/>
  <c r="AM108" i="47" s="1"/>
  <c r="C71" i="47"/>
  <c r="AM71" i="47" s="1"/>
  <c r="D14" i="47"/>
  <c r="C47" i="47"/>
  <c r="AM47" i="47" s="1"/>
  <c r="C102" i="47"/>
  <c r="AM102" i="47" s="1"/>
  <c r="D147" i="47"/>
  <c r="C98" i="47"/>
  <c r="AM98" i="47" s="1"/>
  <c r="D40" i="47"/>
  <c r="D114" i="47"/>
  <c r="D141" i="47"/>
  <c r="C110" i="47"/>
  <c r="AM110" i="47" s="1"/>
  <c r="C118" i="47"/>
  <c r="AM118" i="47" s="1"/>
  <c r="D34" i="47"/>
  <c r="C83" i="47"/>
  <c r="AM83" i="47" s="1"/>
  <c r="C21" i="47"/>
  <c r="AM21" i="47" s="1"/>
  <c r="C143" i="47"/>
  <c r="AM143" i="47" s="1"/>
  <c r="D42" i="47"/>
  <c r="D94" i="47"/>
  <c r="C23" i="47"/>
  <c r="AM23" i="47" s="1"/>
  <c r="D78" i="47"/>
  <c r="C96" i="47"/>
  <c r="AM96" i="47" s="1"/>
  <c r="C86" i="47"/>
  <c r="AM86" i="47" s="1"/>
  <c r="D72" i="47"/>
  <c r="D32" i="47"/>
  <c r="C109" i="47"/>
  <c r="AM109" i="47" s="1"/>
  <c r="D66" i="47"/>
  <c r="C148" i="47"/>
  <c r="AM148" i="47" s="1"/>
  <c r="D111" i="47"/>
  <c r="D89" i="47"/>
  <c r="C117" i="47"/>
  <c r="AM117" i="47" s="1"/>
  <c r="C29" i="47"/>
  <c r="AM29" i="47" s="1"/>
  <c r="D92" i="47"/>
  <c r="D100" i="47"/>
  <c r="D87" i="47"/>
  <c r="C87" i="47"/>
  <c r="AM87" i="47" s="1"/>
  <c r="C120" i="47"/>
  <c r="AM120" i="47" s="1"/>
  <c r="D120" i="47"/>
  <c r="C121" i="47"/>
  <c r="AM121" i="47" s="1"/>
  <c r="D121" i="47"/>
  <c r="D31" i="47"/>
  <c r="C31" i="47"/>
  <c r="AM31" i="47" s="1"/>
  <c r="C24" i="47"/>
  <c r="AM24" i="47" s="1"/>
  <c r="D24" i="47"/>
  <c r="D146" i="47"/>
  <c r="C146" i="47"/>
  <c r="AM146" i="47" s="1"/>
  <c r="C125" i="47"/>
  <c r="AM125" i="47" s="1"/>
  <c r="D125" i="47"/>
  <c r="C30" i="47"/>
  <c r="AM30" i="47" s="1"/>
  <c r="D30" i="47"/>
  <c r="D126" i="47"/>
  <c r="C126" i="47"/>
  <c r="AM126" i="47" s="1"/>
  <c r="D65" i="47"/>
  <c r="C65" i="47"/>
  <c r="AM65" i="47" s="1"/>
  <c r="D57" i="47"/>
  <c r="C57" i="47"/>
  <c r="AM57" i="47" s="1"/>
  <c r="C80" i="47"/>
  <c r="AM80" i="47" s="1"/>
  <c r="D80" i="47"/>
  <c r="D134" i="47"/>
  <c r="C134" i="47"/>
  <c r="AM134" i="47" s="1"/>
  <c r="D36" i="47"/>
  <c r="C36" i="47"/>
  <c r="AM36" i="47" s="1"/>
  <c r="C46" i="47"/>
  <c r="AM46" i="47" s="1"/>
  <c r="D46" i="47"/>
  <c r="C18" i="47"/>
  <c r="AM18" i="47" s="1"/>
  <c r="D18" i="47"/>
  <c r="C56" i="47"/>
  <c r="AM56" i="47" s="1"/>
  <c r="D56" i="47"/>
  <c r="D63" i="47"/>
  <c r="C63" i="47"/>
  <c r="AM63" i="47" s="1"/>
  <c r="C59" i="47"/>
  <c r="AM59" i="47" s="1"/>
  <c r="D59" i="47"/>
  <c r="D50" i="47"/>
  <c r="C50" i="47"/>
  <c r="AM50" i="47" s="1"/>
  <c r="C101" i="47"/>
  <c r="AM101" i="47" s="1"/>
  <c r="D101" i="47"/>
  <c r="C103" i="47"/>
  <c r="AM103" i="47" s="1"/>
  <c r="D103" i="47"/>
  <c r="D95" i="47"/>
  <c r="C95" i="47"/>
  <c r="AM95" i="47" s="1"/>
  <c r="D113" i="47"/>
  <c r="C113" i="47"/>
  <c r="AM113" i="47" s="1"/>
  <c r="C69" i="47"/>
  <c r="AM69" i="47" s="1"/>
  <c r="D69" i="47"/>
  <c r="C53" i="47"/>
  <c r="AM53" i="47" s="1"/>
  <c r="D53" i="47"/>
  <c r="C43" i="47"/>
  <c r="AM43" i="47" s="1"/>
  <c r="D43" i="47"/>
  <c r="D49" i="47"/>
  <c r="C49" i="47"/>
  <c r="AM49" i="47" s="1"/>
  <c r="D38" i="47"/>
  <c r="C38" i="47"/>
  <c r="AM38" i="47" s="1"/>
  <c r="D13" i="47"/>
  <c r="C13" i="47"/>
  <c r="AM13" i="47" s="1"/>
  <c r="C88" i="47"/>
  <c r="AM88" i="47" s="1"/>
  <c r="D88" i="47"/>
  <c r="D107" i="47"/>
  <c r="C107" i="47"/>
  <c r="AM107" i="47" s="1"/>
  <c r="D85" i="47"/>
  <c r="C85" i="47"/>
  <c r="AM85" i="47" s="1"/>
  <c r="D128" i="47"/>
  <c r="C128" i="47"/>
  <c r="AM128" i="47" s="1"/>
  <c r="C19" i="47"/>
  <c r="AM19" i="47" s="1"/>
  <c r="D19" i="47"/>
  <c r="C136" i="47"/>
  <c r="AM136" i="47" s="1"/>
  <c r="D136" i="47"/>
  <c r="D48" i="47"/>
  <c r="C48" i="47"/>
  <c r="AM48" i="47" s="1"/>
  <c r="C60" i="47"/>
  <c r="AM60" i="47" s="1"/>
  <c r="D60" i="47"/>
  <c r="C28" i="47"/>
  <c r="AM28" i="47" s="1"/>
  <c r="D28" i="47"/>
  <c r="C25" i="47"/>
  <c r="AM25" i="47" s="1"/>
  <c r="D25" i="47"/>
  <c r="C138" i="47"/>
  <c r="AM138" i="47" s="1"/>
  <c r="D138" i="47"/>
  <c r="C35" i="47"/>
  <c r="AM35" i="47" s="1"/>
  <c r="D35" i="47"/>
  <c r="D133" i="47"/>
  <c r="C133" i="47"/>
  <c r="AM133" i="47" s="1"/>
  <c r="C79" i="47"/>
  <c r="AM79" i="47" s="1"/>
  <c r="D79" i="47"/>
  <c r="C129" i="47"/>
  <c r="AM129" i="47" s="1"/>
  <c r="D129" i="47"/>
  <c r="C81" i="47"/>
  <c r="AM81" i="47" s="1"/>
  <c r="D81" i="47"/>
  <c r="C140" i="47"/>
  <c r="AM140" i="47" s="1"/>
  <c r="D140" i="47"/>
  <c r="C115" i="47"/>
  <c r="AM115" i="47" s="1"/>
  <c r="D115" i="47"/>
  <c r="D68" i="47"/>
  <c r="C68" i="47"/>
  <c r="AM68" i="47" s="1"/>
  <c r="D70" i="47"/>
  <c r="C70" i="47"/>
  <c r="AM70" i="47" s="1"/>
  <c r="C135" i="47"/>
  <c r="AM135" i="47" s="1"/>
  <c r="D135" i="47"/>
  <c r="D52" i="47"/>
  <c r="C52" i="47"/>
  <c r="AM52" i="47" s="1"/>
  <c r="C130" i="47"/>
  <c r="AM130" i="47" s="1"/>
  <c r="D130" i="47"/>
  <c r="C61" i="47"/>
  <c r="AM61" i="47" s="1"/>
  <c r="D61" i="47"/>
  <c r="D22" i="47"/>
  <c r="C22" i="47"/>
  <c r="AM22" i="47" s="1"/>
  <c r="C45" i="47"/>
  <c r="AM45" i="47" s="1"/>
  <c r="D45" i="47"/>
  <c r="D122" i="47"/>
  <c r="C122" i="47"/>
  <c r="AM122" i="47" s="1"/>
  <c r="C76" i="47"/>
  <c r="AM76" i="47" s="1"/>
  <c r="D76" i="47"/>
  <c r="D16" i="47"/>
  <c r="C16" i="47"/>
  <c r="AM16" i="47" s="1"/>
  <c r="D39" i="47"/>
  <c r="C39" i="47"/>
  <c r="AM39" i="47" s="1"/>
  <c r="C58" i="47"/>
  <c r="AM58" i="47" s="1"/>
  <c r="D58" i="47"/>
  <c r="D74" i="47"/>
  <c r="C74" i="47"/>
  <c r="AM74" i="47" s="1"/>
  <c r="C104" i="47"/>
  <c r="AM104" i="47" s="1"/>
  <c r="D104" i="47"/>
  <c r="D64" i="47"/>
  <c r="C64" i="47"/>
  <c r="AM64" i="47" s="1"/>
  <c r="D145" i="47"/>
  <c r="C145" i="47"/>
  <c r="AM145" i="47" s="1"/>
  <c r="C62" i="47"/>
  <c r="AM62" i="47" s="1"/>
  <c r="D62" i="47"/>
  <c r="C142" i="47"/>
  <c r="AM142" i="47" s="1"/>
  <c r="D142" i="47"/>
  <c r="C75" i="47"/>
  <c r="AM75" i="47" s="1"/>
  <c r="D75" i="47"/>
  <c r="D99" i="47"/>
  <c r="C99" i="47"/>
  <c r="AM99" i="47" s="1"/>
  <c r="C123" i="47"/>
  <c r="AM123" i="47" s="1"/>
  <c r="D123" i="47"/>
  <c r="C54" i="47"/>
  <c r="AM54" i="47" s="1"/>
  <c r="D54" i="47"/>
  <c r="D82" i="47"/>
  <c r="C82" i="47"/>
  <c r="AM82" i="47" s="1"/>
  <c r="C77" i="47"/>
  <c r="AM77" i="47" s="1"/>
  <c r="D77" i="47"/>
  <c r="D139" i="47"/>
  <c r="C139" i="47"/>
  <c r="AM139" i="47" s="1"/>
  <c r="D93" i="47"/>
  <c r="C93" i="47"/>
  <c r="AM93" i="47" s="1"/>
  <c r="C11" i="47"/>
  <c r="AM11" i="47" s="1"/>
  <c r="K7" i="47"/>
  <c r="N2" i="47" s="1"/>
  <c r="D11" i="47"/>
  <c r="D112" i="47"/>
  <c r="C112" i="47"/>
  <c r="AM112" i="47" s="1"/>
  <c r="D73" i="47"/>
  <c r="C73" i="47"/>
  <c r="AM73" i="47" s="1"/>
  <c r="C27" i="47"/>
  <c r="AM27" i="47" s="1"/>
  <c r="D27" i="47"/>
  <c r="D55" i="47"/>
  <c r="C55" i="47"/>
  <c r="AM55" i="47" s="1"/>
  <c r="D137" i="47"/>
  <c r="C137" i="47"/>
  <c r="AM137" i="47" s="1"/>
  <c r="C90" i="47"/>
  <c r="AM90" i="47" s="1"/>
  <c r="D90" i="47"/>
  <c r="C144" i="47"/>
  <c r="AM144" i="47" s="1"/>
  <c r="D144" i="47"/>
  <c r="C20" i="47"/>
  <c r="AM20" i="47" s="1"/>
  <c r="D20" i="47"/>
  <c r="D12" i="47"/>
  <c r="C12" i="47"/>
  <c r="AM12" i="47" s="1"/>
  <c r="C127" i="47"/>
  <c r="AM127" i="47" s="1"/>
  <c r="D127" i="47"/>
  <c r="C67" i="47"/>
  <c r="AM67" i="47" s="1"/>
  <c r="D67" i="47"/>
  <c r="D15" i="47"/>
  <c r="C15" i="47"/>
  <c r="AM15" i="47" s="1"/>
  <c r="C91" i="47"/>
  <c r="AM91" i="47" s="1"/>
  <c r="D91" i="47"/>
  <c r="S3" i="47" l="1"/>
  <c r="L2" i="112"/>
  <c r="S2" i="47"/>
  <c r="L3" i="112"/>
  <c r="AL98" i="47"/>
  <c r="C90" i="75" s="1"/>
  <c r="L73" i="75"/>
  <c r="L130" i="75"/>
  <c r="L74" i="75"/>
  <c r="A118" i="75"/>
  <c r="A8" i="75"/>
  <c r="G2" i="61"/>
  <c r="A58" i="75"/>
  <c r="L19" i="75"/>
  <c r="AL51" i="47"/>
  <c r="C43" i="75" s="1"/>
  <c r="A47" i="75"/>
  <c r="L104" i="75"/>
  <c r="AL42" i="47"/>
  <c r="C34" i="75" s="1"/>
  <c r="AL70" i="47"/>
  <c r="C62" i="75" s="1"/>
  <c r="AL68" i="47"/>
  <c r="C60" i="75" s="1"/>
  <c r="A3" i="75"/>
  <c r="AL22" i="47"/>
  <c r="C14" i="75" s="1"/>
  <c r="L12" i="75"/>
  <c r="L86" i="75"/>
  <c r="AL104" i="47"/>
  <c r="C96" i="75" s="1"/>
  <c r="A55" i="75"/>
  <c r="A7" i="75"/>
  <c r="AL106" i="47"/>
  <c r="C98" i="75" s="1"/>
  <c r="A107" i="75"/>
  <c r="A23" i="75"/>
  <c r="L90" i="75"/>
  <c r="L40" i="75"/>
  <c r="L124" i="75"/>
  <c r="L55" i="75"/>
  <c r="AL93" i="47"/>
  <c r="C85" i="75" s="1"/>
  <c r="L105" i="75"/>
  <c r="L116" i="75"/>
  <c r="AL83" i="47"/>
  <c r="C75" i="75" s="1"/>
  <c r="AL28" i="47"/>
  <c r="C20" i="75" s="1"/>
  <c r="L62" i="75"/>
  <c r="L49" i="75"/>
  <c r="AL120" i="47"/>
  <c r="C112" i="75" s="1"/>
  <c r="A21" i="75"/>
  <c r="AL23" i="47"/>
  <c r="C15" i="75" s="1"/>
  <c r="A63" i="75"/>
  <c r="AL30" i="47"/>
  <c r="C22" i="75" s="1"/>
  <c r="A123" i="75"/>
  <c r="A105" i="75"/>
  <c r="AL64" i="47"/>
  <c r="C56" i="75" s="1"/>
  <c r="AL133" i="47"/>
  <c r="C125" i="75" s="1"/>
  <c r="AL84" i="47"/>
  <c r="C76" i="75" s="1"/>
  <c r="AL27" i="47"/>
  <c r="C19" i="75" s="1"/>
  <c r="AL11" i="47"/>
  <c r="C3" i="75" s="1"/>
  <c r="A84" i="75"/>
  <c r="AL132" i="47"/>
  <c r="C124" i="75" s="1"/>
  <c r="L94" i="75"/>
  <c r="A102" i="75"/>
  <c r="A72" i="75"/>
  <c r="A121" i="75"/>
  <c r="AL125" i="47"/>
  <c r="C117" i="75" s="1"/>
  <c r="AL137" i="47"/>
  <c r="C129" i="75" s="1"/>
  <c r="A31" i="75"/>
  <c r="A87" i="75"/>
  <c r="L122" i="75"/>
  <c r="L92" i="75"/>
  <c r="A88" i="75"/>
  <c r="AL77" i="47"/>
  <c r="C69" i="75" s="1"/>
  <c r="A77" i="75"/>
  <c r="A101" i="75"/>
  <c r="L29" i="75"/>
  <c r="A89" i="75"/>
  <c r="L103" i="75"/>
  <c r="L118" i="75"/>
  <c r="AL45" i="47"/>
  <c r="C37" i="75" s="1"/>
  <c r="A111" i="75"/>
  <c r="AL101" i="47"/>
  <c r="C93" i="75" s="1"/>
  <c r="A114" i="75"/>
  <c r="L87" i="75"/>
  <c r="L15" i="75"/>
  <c r="L41" i="75"/>
  <c r="L35" i="75"/>
  <c r="L112" i="75"/>
  <c r="AL115" i="47"/>
  <c r="C107" i="75" s="1"/>
  <c r="A80" i="75"/>
  <c r="AL62" i="47"/>
  <c r="C54" i="75" s="1"/>
  <c r="L60" i="75"/>
  <c r="AL117" i="47"/>
  <c r="C109" i="75" s="1"/>
  <c r="A34" i="75"/>
  <c r="A122" i="75"/>
  <c r="L20" i="75"/>
  <c r="A17" i="75"/>
  <c r="L45" i="75"/>
  <c r="AL110" i="47"/>
  <c r="C102" i="75" s="1"/>
  <c r="A11" i="75"/>
  <c r="L78" i="75"/>
  <c r="L28" i="75"/>
  <c r="L80" i="75"/>
  <c r="A86" i="75"/>
  <c r="L16" i="75"/>
  <c r="AL24" i="47"/>
  <c r="C16" i="75" s="1"/>
  <c r="L37" i="75"/>
  <c r="AL128" i="47"/>
  <c r="C120" i="75" s="1"/>
  <c r="AL109" i="47"/>
  <c r="C101" i="75" s="1"/>
  <c r="L6" i="75"/>
  <c r="A74" i="75"/>
  <c r="AL105" i="47"/>
  <c r="C97" i="75" s="1"/>
  <c r="L95" i="75"/>
  <c r="A109" i="75"/>
  <c r="A93" i="75"/>
  <c r="AL48" i="47"/>
  <c r="C40" i="75" s="1"/>
  <c r="A125" i="75"/>
  <c r="AL88" i="47"/>
  <c r="C80" i="75" s="1"/>
  <c r="A78" i="75"/>
  <c r="AL59" i="47"/>
  <c r="C51" i="75" s="1"/>
  <c r="AL56" i="47"/>
  <c r="C48" i="75" s="1"/>
  <c r="A16" i="75"/>
  <c r="A24" i="75"/>
  <c r="AL95" i="47"/>
  <c r="C87" i="75" s="1"/>
  <c r="AL14" i="47"/>
  <c r="C6" i="75" s="1"/>
  <c r="AL32" i="47"/>
  <c r="C24" i="75" s="1"/>
  <c r="AL13" i="47"/>
  <c r="C5" i="75" s="1"/>
  <c r="AL65" i="47"/>
  <c r="C57" i="75" s="1"/>
  <c r="L120" i="75"/>
  <c r="L127" i="75"/>
  <c r="AL134" i="47"/>
  <c r="C126" i="75" s="1"/>
  <c r="L26" i="75"/>
  <c r="L32" i="75"/>
  <c r="AL138" i="47"/>
  <c r="C130" i="75" s="1"/>
  <c r="AL94" i="47"/>
  <c r="C86" i="75" s="1"/>
  <c r="AL144" i="47"/>
  <c r="AL63" i="47"/>
  <c r="C55" i="75" s="1"/>
  <c r="AL34" i="47"/>
  <c r="C26" i="75" s="1"/>
  <c r="A119" i="75"/>
  <c r="AL29" i="47"/>
  <c r="C21" i="75" s="1"/>
  <c r="L110" i="75"/>
  <c r="L89" i="75"/>
  <c r="AL53" i="47"/>
  <c r="C45" i="75" s="1"/>
  <c r="AL15" i="47"/>
  <c r="C7" i="75" s="1"/>
  <c r="A92" i="75"/>
  <c r="L76" i="75"/>
  <c r="L64" i="75"/>
  <c r="A115" i="75"/>
  <c r="L82" i="75"/>
  <c r="AL41" i="47"/>
  <c r="C33" i="75" s="1"/>
  <c r="L117" i="75"/>
  <c r="L56" i="75"/>
  <c r="AL90" i="47"/>
  <c r="C82" i="75" s="1"/>
  <c r="AL127" i="47"/>
  <c r="C119" i="75" s="1"/>
  <c r="A20" i="75"/>
  <c r="A71" i="75"/>
  <c r="A129" i="75"/>
  <c r="A42" i="75"/>
  <c r="AL79" i="47"/>
  <c r="C71" i="75" s="1"/>
  <c r="AL148" i="47"/>
  <c r="L8" i="75"/>
  <c r="L7" i="75"/>
  <c r="L70" i="75"/>
  <c r="AL76" i="47"/>
  <c r="C68" i="75" s="1"/>
  <c r="AL139" i="47"/>
  <c r="L22" i="75"/>
  <c r="L27" i="75"/>
  <c r="L58" i="75"/>
  <c r="L98" i="75"/>
  <c r="A67" i="75"/>
  <c r="AL50" i="47"/>
  <c r="C42" i="75" s="1"/>
  <c r="A68" i="75"/>
  <c r="AL114" i="47"/>
  <c r="C106" i="75" s="1"/>
  <c r="AL21" i="47"/>
  <c r="C13" i="75" s="1"/>
  <c r="AL82" i="47"/>
  <c r="C74" i="75" s="1"/>
  <c r="A59" i="75"/>
  <c r="L33" i="75"/>
  <c r="A85" i="75"/>
  <c r="L111" i="75"/>
  <c r="L75" i="75"/>
  <c r="A65" i="75"/>
  <c r="AL123" i="47"/>
  <c r="C115" i="75" s="1"/>
  <c r="L36" i="75"/>
  <c r="L46" i="75"/>
  <c r="A66" i="75"/>
  <c r="L97" i="75"/>
  <c r="L84" i="75"/>
  <c r="AL18" i="47"/>
  <c r="C10" i="75" s="1"/>
  <c r="A5" i="75"/>
  <c r="A126" i="75"/>
  <c r="AL20" i="47"/>
  <c r="C12" i="75" s="1"/>
  <c r="L69" i="75"/>
  <c r="AL92" i="47"/>
  <c r="C84" i="75" s="1"/>
  <c r="A60" i="75"/>
  <c r="AL69" i="47"/>
  <c r="C61" i="75" s="1"/>
  <c r="L123" i="75"/>
  <c r="A90" i="75"/>
  <c r="L81" i="75"/>
  <c r="L108" i="75"/>
  <c r="A64" i="75"/>
  <c r="A12" i="75"/>
  <c r="AL89" i="47"/>
  <c r="C81" i="75" s="1"/>
  <c r="AL55" i="47"/>
  <c r="C47" i="75" s="1"/>
  <c r="AL121" i="47"/>
  <c r="C113" i="75" s="1"/>
  <c r="A4" i="75"/>
  <c r="L10" i="75"/>
  <c r="A49" i="75"/>
  <c r="AL61" i="47"/>
  <c r="C53" i="75" s="1"/>
  <c r="AL108" i="47"/>
  <c r="C100" i="75" s="1"/>
  <c r="L17" i="75"/>
  <c r="L106" i="75"/>
  <c r="AL145" i="47"/>
  <c r="A46" i="75"/>
  <c r="AL36" i="47"/>
  <c r="C28" i="75" s="1"/>
  <c r="AL74" i="47"/>
  <c r="C66" i="75" s="1"/>
  <c r="L52" i="75"/>
  <c r="L115" i="75"/>
  <c r="L23" i="75"/>
  <c r="AL52" i="47"/>
  <c r="C44" i="75" s="1"/>
  <c r="L68" i="75"/>
  <c r="L34" i="75"/>
  <c r="L47" i="75"/>
  <c r="L109" i="75"/>
  <c r="AL40" i="47"/>
  <c r="C32" i="75" s="1"/>
  <c r="AL81" i="47"/>
  <c r="C73" i="75" s="1"/>
  <c r="AL97" i="47"/>
  <c r="C89" i="75" s="1"/>
  <c r="A128" i="75"/>
  <c r="L51" i="75"/>
  <c r="L66" i="75"/>
  <c r="A94" i="75"/>
  <c r="AL54" i="47"/>
  <c r="C46" i="75" s="1"/>
  <c r="AL146" i="47"/>
  <c r="L25" i="75"/>
  <c r="A110" i="75"/>
  <c r="A10" i="75"/>
  <c r="AL60" i="47"/>
  <c r="C52" i="75" s="1"/>
  <c r="L129" i="75"/>
  <c r="L5" i="75"/>
  <c r="L126" i="75"/>
  <c r="A6" i="75"/>
  <c r="AL71" i="47"/>
  <c r="C63" i="75" s="1"/>
  <c r="A50" i="75"/>
  <c r="L63" i="75"/>
  <c r="AL46" i="47"/>
  <c r="C38" i="75" s="1"/>
  <c r="A81" i="75"/>
  <c r="A54" i="75"/>
  <c r="AL126" i="47"/>
  <c r="C118" i="75" s="1"/>
  <c r="L119" i="75"/>
  <c r="AL31" i="47"/>
  <c r="C23" i="75" s="1"/>
  <c r="L113" i="75"/>
  <c r="A96" i="75"/>
  <c r="AL131" i="47"/>
  <c r="C123" i="75" s="1"/>
  <c r="A120" i="75"/>
  <c r="A48" i="75"/>
  <c r="A97" i="75"/>
  <c r="AL116" i="47"/>
  <c r="C108" i="75" s="1"/>
  <c r="A83" i="75"/>
  <c r="A35" i="75"/>
  <c r="AL86" i="47"/>
  <c r="C78" i="75" s="1"/>
  <c r="AL135" i="47"/>
  <c r="C127" i="75" s="1"/>
  <c r="AL122" i="47"/>
  <c r="C114" i="75" s="1"/>
  <c r="L101" i="75"/>
  <c r="AL78" i="47"/>
  <c r="C70" i="75" s="1"/>
  <c r="A45" i="75"/>
  <c r="L21" i="75"/>
  <c r="A79" i="75"/>
  <c r="L30" i="75"/>
  <c r="A53" i="75"/>
  <c r="A14" i="75"/>
  <c r="A113" i="75"/>
  <c r="L93" i="75"/>
  <c r="AL12" i="47"/>
  <c r="C4" i="75" s="1"/>
  <c r="A37" i="75"/>
  <c r="AL119" i="47"/>
  <c r="C111" i="75" s="1"/>
  <c r="AL57" i="47"/>
  <c r="C49" i="75" s="1"/>
  <c r="L102" i="75"/>
  <c r="AL39" i="47"/>
  <c r="C31" i="75" s="1"/>
  <c r="AL107" i="47"/>
  <c r="C99" i="75" s="1"/>
  <c r="A28" i="75"/>
  <c r="A32" i="75"/>
  <c r="L114" i="75"/>
  <c r="L121" i="75"/>
  <c r="A44" i="75"/>
  <c r="A36" i="75"/>
  <c r="L54" i="75"/>
  <c r="L61" i="75"/>
  <c r="A30" i="75"/>
  <c r="AL25" i="47"/>
  <c r="C17" i="75" s="1"/>
  <c r="AL67" i="47"/>
  <c r="C59" i="75" s="1"/>
  <c r="AL75" i="47"/>
  <c r="C67" i="75" s="1"/>
  <c r="L96" i="75"/>
  <c r="L128" i="75"/>
  <c r="AL85" i="47"/>
  <c r="C77" i="75" s="1"/>
  <c r="AL47" i="47"/>
  <c r="C39" i="75" s="1"/>
  <c r="AL44" i="47"/>
  <c r="C36" i="75" s="1"/>
  <c r="AL26" i="47"/>
  <c r="C18" i="75" s="1"/>
  <c r="A43" i="75"/>
  <c r="L88" i="75"/>
  <c r="L99" i="75"/>
  <c r="A127" i="75"/>
  <c r="A52" i="75"/>
  <c r="A15" i="75"/>
  <c r="AL111" i="47"/>
  <c r="C103" i="75" s="1"/>
  <c r="A82" i="75"/>
  <c r="L50" i="75"/>
  <c r="A70" i="75"/>
  <c r="A130" i="75"/>
  <c r="AL16" i="47"/>
  <c r="C8" i="75" s="1"/>
  <c r="A33" i="75"/>
  <c r="A13" i="75"/>
  <c r="L14" i="75"/>
  <c r="A69" i="75"/>
  <c r="AL66" i="47"/>
  <c r="C58" i="75" s="1"/>
  <c r="A98" i="75"/>
  <c r="AL112" i="47"/>
  <c r="C104" i="75" s="1"/>
  <c r="A112" i="75"/>
  <c r="A27" i="75"/>
  <c r="L100" i="75"/>
  <c r="AL136" i="47"/>
  <c r="C128" i="75" s="1"/>
  <c r="L42" i="75"/>
  <c r="AL35" i="47"/>
  <c r="C27" i="75" s="1"/>
  <c r="A38" i="75"/>
  <c r="L38" i="75"/>
  <c r="AL141" i="47"/>
  <c r="A99" i="75"/>
  <c r="L24" i="75"/>
  <c r="AL143" i="47"/>
  <c r="AL118" i="47"/>
  <c r="C110" i="75" s="1"/>
  <c r="L72" i="75"/>
  <c r="L83" i="75"/>
  <c r="A39" i="75"/>
  <c r="L85" i="75"/>
  <c r="L71" i="75"/>
  <c r="L43" i="75"/>
  <c r="L53" i="75"/>
  <c r="L4" i="75"/>
  <c r="L9" i="75"/>
  <c r="AL130" i="47"/>
  <c r="C122" i="75" s="1"/>
  <c r="L65" i="75"/>
  <c r="AL124" i="47"/>
  <c r="C116" i="75" s="1"/>
  <c r="A22" i="75"/>
  <c r="A41" i="75"/>
  <c r="L11" i="75"/>
  <c r="A51" i="75"/>
  <c r="A26" i="75"/>
  <c r="L107" i="75"/>
  <c r="AL80" i="47"/>
  <c r="C72" i="75" s="1"/>
  <c r="AL102" i="47"/>
  <c r="C94" i="75" s="1"/>
  <c r="L67" i="75"/>
  <c r="AL147" i="47"/>
  <c r="AL73" i="47"/>
  <c r="C65" i="75" s="1"/>
  <c r="A56" i="75"/>
  <c r="A91" i="75"/>
  <c r="A19" i="75"/>
  <c r="AL17" i="47"/>
  <c r="C9" i="75" s="1"/>
  <c r="AL87" i="47"/>
  <c r="C79" i="75" s="1"/>
  <c r="L59" i="75"/>
  <c r="A95" i="75"/>
  <c r="AL49" i="47"/>
  <c r="C41" i="75" s="1"/>
  <c r="A18" i="75"/>
  <c r="AL38" i="47"/>
  <c r="C30" i="75" s="1"/>
  <c r="L57" i="75"/>
  <c r="A73" i="75"/>
  <c r="AL58" i="47"/>
  <c r="C50" i="75" s="1"/>
  <c r="A103" i="75"/>
  <c r="L48" i="75"/>
  <c r="A61" i="75"/>
  <c r="AL33" i="47"/>
  <c r="C25" i="75" s="1"/>
  <c r="A124" i="75"/>
  <c r="A100" i="75"/>
  <c r="L31" i="75"/>
  <c r="AL91" i="47"/>
  <c r="C83" i="75" s="1"/>
  <c r="L77" i="75"/>
  <c r="A25" i="75"/>
  <c r="F3" i="111"/>
  <c r="A57" i="75"/>
  <c r="A62" i="75"/>
  <c r="A40" i="75"/>
  <c r="AL140" i="47"/>
  <c r="I3" i="112"/>
  <c r="A106" i="75"/>
  <c r="A104" i="75"/>
  <c r="AL72" i="47"/>
  <c r="C64" i="75" s="1"/>
  <c r="A29" i="75"/>
  <c r="A75" i="75"/>
  <c r="A117" i="75"/>
  <c r="L79" i="75"/>
  <c r="L18" i="75"/>
  <c r="AL99" i="47"/>
  <c r="C91" i="75" s="1"/>
  <c r="AL142" i="47"/>
  <c r="L3" i="75"/>
  <c r="L44" i="75"/>
  <c r="AL19" i="47"/>
  <c r="C11" i="75" s="1"/>
  <c r="L91" i="75"/>
  <c r="AL100" i="47"/>
  <c r="C92" i="75" s="1"/>
  <c r="AL129" i="47"/>
  <c r="C121" i="75" s="1"/>
  <c r="AL43" i="47"/>
  <c r="C35" i="75" s="1"/>
  <c r="L13" i="75"/>
  <c r="AL37" i="47"/>
  <c r="C29" i="75" s="1"/>
  <c r="L39" i="75"/>
  <c r="L125" i="75"/>
  <c r="A9" i="75"/>
  <c r="A116" i="75"/>
  <c r="P2" i="75"/>
  <c r="A108" i="75"/>
  <c r="AL103" i="47"/>
  <c r="C95" i="75" s="1"/>
  <c r="A76" i="75"/>
  <c r="AL96" i="47"/>
  <c r="C88" i="75" s="1"/>
  <c r="AL113" i="47"/>
  <c r="C105" i="75" s="1"/>
  <c r="B66" i="48" l="1"/>
  <c r="E120" i="75"/>
  <c r="B120" i="75"/>
  <c r="A120" i="48" s="1"/>
  <c r="C120" i="48" s="1"/>
  <c r="D120" i="75"/>
  <c r="E96" i="75"/>
  <c r="B96" i="75"/>
  <c r="A96" i="48" s="1"/>
  <c r="C96" i="48" s="1"/>
  <c r="D96" i="75"/>
  <c r="E100" i="75"/>
  <c r="D100" i="75"/>
  <c r="B100" i="75"/>
  <c r="A100" i="48" s="1"/>
  <c r="C100" i="48" s="1"/>
  <c r="B68" i="48"/>
  <c r="B107" i="48"/>
  <c r="B88" i="48"/>
  <c r="B94" i="48"/>
  <c r="B110" i="48"/>
  <c r="B23" i="48"/>
  <c r="B8" i="48"/>
  <c r="B56" i="48"/>
  <c r="B31" i="48"/>
  <c r="D115" i="75"/>
  <c r="B115" i="75"/>
  <c r="A115" i="48" s="1"/>
  <c r="C115" i="48" s="1"/>
  <c r="E115" i="75"/>
  <c r="B64" i="48"/>
  <c r="B120" i="48"/>
  <c r="B112" i="48"/>
  <c r="B20" i="48"/>
  <c r="D76" i="75"/>
  <c r="E76" i="75"/>
  <c r="B76" i="75"/>
  <c r="A73" i="48" s="1"/>
  <c r="C73" i="48" s="1"/>
  <c r="B81" i="48"/>
  <c r="E130" i="75"/>
  <c r="D130" i="75"/>
  <c r="B130" i="75"/>
  <c r="A130" i="48" s="1"/>
  <c r="C130" i="48" s="1"/>
  <c r="B118" i="48"/>
  <c r="E128" i="75"/>
  <c r="B128" i="75"/>
  <c r="A128" i="48" s="1"/>
  <c r="C128" i="48" s="1"/>
  <c r="D128" i="75"/>
  <c r="B11" i="48"/>
  <c r="B129" i="48"/>
  <c r="AH100" i="47"/>
  <c r="AH119" i="47"/>
  <c r="AH77" i="47"/>
  <c r="AH141" i="47"/>
  <c r="AH102" i="47"/>
  <c r="AH121" i="47"/>
  <c r="AH107" i="47"/>
  <c r="AH71" i="47"/>
  <c r="AH79" i="47"/>
  <c r="AH109" i="47"/>
  <c r="AH146" i="47"/>
  <c r="AH84" i="47"/>
  <c r="AH124" i="47"/>
  <c r="AH117" i="47"/>
  <c r="AH103" i="47"/>
  <c r="AH148" i="47"/>
  <c r="AH93" i="47"/>
  <c r="AH116" i="47"/>
  <c r="AH140" i="47"/>
  <c r="AH137" i="47"/>
  <c r="AH81" i="47"/>
  <c r="AH86" i="47"/>
  <c r="AH118" i="47"/>
  <c r="AH144" i="47"/>
  <c r="AH113" i="47"/>
  <c r="AH106" i="47"/>
  <c r="AH76" i="47"/>
  <c r="AH97" i="47"/>
  <c r="AH125" i="47"/>
  <c r="AH87" i="47"/>
  <c r="AH123" i="47"/>
  <c r="AH95" i="47"/>
  <c r="AH108" i="47"/>
  <c r="AH127" i="47"/>
  <c r="AH94" i="47"/>
  <c r="AH98" i="47"/>
  <c r="AH89" i="47"/>
  <c r="AH82" i="47"/>
  <c r="AH73" i="47"/>
  <c r="AH139" i="47"/>
  <c r="AH90" i="47"/>
  <c r="AH78" i="47"/>
  <c r="AH99" i="47"/>
  <c r="AH147" i="47"/>
  <c r="AH145" i="47"/>
  <c r="AH111" i="47"/>
  <c r="AH130" i="47"/>
  <c r="AH132" i="47"/>
  <c r="AH110" i="47"/>
  <c r="AH72" i="47"/>
  <c r="AH104" i="47"/>
  <c r="AH70" i="47"/>
  <c r="AH129" i="47"/>
  <c r="AH88" i="47"/>
  <c r="AH85" i="47"/>
  <c r="AH91" i="47"/>
  <c r="AH143" i="47"/>
  <c r="AH75" i="47"/>
  <c r="AH135" i="47"/>
  <c r="AH74" i="47"/>
  <c r="AH133" i="47"/>
  <c r="AH128" i="47"/>
  <c r="AH120" i="47"/>
  <c r="AH101" i="47"/>
  <c r="AH134" i="47"/>
  <c r="AH92" i="47"/>
  <c r="AH136" i="47"/>
  <c r="AH80" i="47"/>
  <c r="AH142" i="47"/>
  <c r="AH96" i="47"/>
  <c r="AH115" i="47"/>
  <c r="AH138" i="47"/>
  <c r="AH114" i="47"/>
  <c r="AH122" i="47"/>
  <c r="AH83" i="47"/>
  <c r="AH126" i="47"/>
  <c r="AH112" i="47"/>
  <c r="AH105" i="47"/>
  <c r="AH131" i="47"/>
  <c r="B80" i="48"/>
  <c r="B105" i="48"/>
  <c r="B117" i="48"/>
  <c r="B45" i="48"/>
  <c r="B97" i="75"/>
  <c r="A97" i="48" s="1"/>
  <c r="C97" i="48" s="1"/>
  <c r="E97" i="75"/>
  <c r="D97" i="75"/>
  <c r="B98" i="75"/>
  <c r="A98" i="48" s="1"/>
  <c r="C98" i="48" s="1"/>
  <c r="E98" i="75"/>
  <c r="D98" i="75"/>
  <c r="B28" i="48"/>
  <c r="B25" i="48"/>
  <c r="B74" i="48"/>
  <c r="B12" i="48"/>
  <c r="D108" i="75"/>
  <c r="E108" i="75"/>
  <c r="B108" i="75"/>
  <c r="A108" i="48" s="1"/>
  <c r="C108" i="48" s="1"/>
  <c r="B95" i="48"/>
  <c r="B79" i="75"/>
  <c r="A67" i="48" s="1"/>
  <c r="C67" i="48" s="1"/>
  <c r="E79" i="75"/>
  <c r="D79" i="75"/>
  <c r="B70" i="48"/>
  <c r="D103" i="75"/>
  <c r="E103" i="75"/>
  <c r="B103" i="75"/>
  <c r="A103" i="48" s="1"/>
  <c r="C103" i="48" s="1"/>
  <c r="B99" i="75"/>
  <c r="A99" i="48" s="1"/>
  <c r="C99" i="48" s="1"/>
  <c r="D99" i="75"/>
  <c r="E99" i="75"/>
  <c r="B81" i="75"/>
  <c r="A63" i="48" s="1"/>
  <c r="C63" i="48" s="1"/>
  <c r="E81" i="75"/>
  <c r="D81" i="75"/>
  <c r="B66" i="75"/>
  <c r="A82" i="48" s="1"/>
  <c r="C82" i="48" s="1"/>
  <c r="D66" i="75"/>
  <c r="E66" i="75"/>
  <c r="B92" i="75"/>
  <c r="A92" i="48" s="1"/>
  <c r="C92" i="48" s="1"/>
  <c r="D92" i="75"/>
  <c r="E92" i="75"/>
  <c r="B121" i="75"/>
  <c r="A121" i="48" s="1"/>
  <c r="C121" i="48" s="1"/>
  <c r="E121" i="75"/>
  <c r="D121" i="75"/>
  <c r="B4" i="48"/>
  <c r="B21" i="48"/>
  <c r="B82" i="75"/>
  <c r="A61" i="48" s="1"/>
  <c r="C61" i="48" s="1"/>
  <c r="D82" i="75"/>
  <c r="E82" i="75"/>
  <c r="B49" i="48"/>
  <c r="B14" i="48"/>
  <c r="B86" i="48"/>
  <c r="B51" i="48"/>
  <c r="D86" i="75"/>
  <c r="E86" i="75"/>
  <c r="B86" i="75"/>
  <c r="A53" i="48" s="1"/>
  <c r="C53" i="48" s="1"/>
  <c r="E72" i="75"/>
  <c r="D72" i="75"/>
  <c r="B72" i="75"/>
  <c r="A81" i="48" s="1"/>
  <c r="C81" i="48" s="1"/>
  <c r="B6" i="48"/>
  <c r="E116" i="75"/>
  <c r="B116" i="75"/>
  <c r="A116" i="48" s="1"/>
  <c r="C116" i="48" s="1"/>
  <c r="D116" i="75"/>
  <c r="B73" i="75"/>
  <c r="A79" i="48" s="1"/>
  <c r="C79" i="48" s="1"/>
  <c r="E73" i="75"/>
  <c r="D73" i="75"/>
  <c r="B40" i="48"/>
  <c r="D114" i="75"/>
  <c r="E114" i="75"/>
  <c r="B114" i="75"/>
  <c r="A114" i="48" s="1"/>
  <c r="C114" i="48" s="1"/>
  <c r="B102" i="75"/>
  <c r="A102" i="48" s="1"/>
  <c r="C102" i="48" s="1"/>
  <c r="E102" i="75"/>
  <c r="D102" i="75"/>
  <c r="D104" i="75"/>
  <c r="E104" i="75"/>
  <c r="B104" i="75"/>
  <c r="A104" i="48" s="1"/>
  <c r="C104" i="48" s="1"/>
  <c r="B63" i="48"/>
  <c r="B115" i="48"/>
  <c r="B93" i="48"/>
  <c r="B35" i="48"/>
  <c r="B113" i="48"/>
  <c r="B19" i="48"/>
  <c r="B75" i="48"/>
  <c r="B78" i="48"/>
  <c r="B103" i="48"/>
  <c r="B85" i="48"/>
  <c r="B38" i="48"/>
  <c r="B106" i="75"/>
  <c r="A106" i="48" s="1"/>
  <c r="C106" i="48" s="1"/>
  <c r="E106" i="75"/>
  <c r="D106" i="75"/>
  <c r="B22" i="48"/>
  <c r="B34" i="48"/>
  <c r="B114" i="48"/>
  <c r="B76" i="48"/>
  <c r="D65" i="75"/>
  <c r="B65" i="75"/>
  <c r="A80" i="48" s="1"/>
  <c r="C80" i="48" s="1"/>
  <c r="E65" i="75"/>
  <c r="B37" i="48"/>
  <c r="D111" i="75"/>
  <c r="B111" i="75"/>
  <c r="A111" i="48" s="1"/>
  <c r="C111" i="48" s="1"/>
  <c r="E111" i="75"/>
  <c r="B124" i="48"/>
  <c r="B55" i="48"/>
  <c r="B42" i="48"/>
  <c r="B27" i="48"/>
  <c r="B72" i="48"/>
  <c r="B91" i="48"/>
  <c r="B101" i="48"/>
  <c r="B117" i="75"/>
  <c r="A117" i="48" s="1"/>
  <c r="C117" i="48" s="1"/>
  <c r="D117" i="75"/>
  <c r="E117" i="75"/>
  <c r="D70" i="75"/>
  <c r="B70" i="75"/>
  <c r="A85" i="48" s="1"/>
  <c r="C85" i="48" s="1"/>
  <c r="E70" i="75"/>
  <c r="B89" i="48"/>
  <c r="D75" i="75"/>
  <c r="E75" i="75"/>
  <c r="B75" i="75"/>
  <c r="A75" i="48" s="1"/>
  <c r="C75" i="48" s="1"/>
  <c r="B79" i="48"/>
  <c r="B15" i="48"/>
  <c r="B9" i="48"/>
  <c r="Q2" i="75"/>
  <c r="R2" i="75" s="1"/>
  <c r="AC2" i="75"/>
  <c r="T2" i="75"/>
  <c r="U2" i="75" s="1"/>
  <c r="AF2" i="75"/>
  <c r="AG2" i="75" s="1"/>
  <c r="W2" i="75"/>
  <c r="Z2" i="75"/>
  <c r="F153" i="112"/>
  <c r="J239" i="112"/>
  <c r="F252" i="112"/>
  <c r="J41" i="112"/>
  <c r="J231" i="112"/>
  <c r="J79" i="112"/>
  <c r="F42" i="112"/>
  <c r="F237" i="112"/>
  <c r="J84" i="112"/>
  <c r="J127" i="112"/>
  <c r="F91" i="112"/>
  <c r="F147" i="112"/>
  <c r="J26" i="112"/>
  <c r="J144" i="112"/>
  <c r="J44" i="112"/>
  <c r="F14" i="112"/>
  <c r="F195" i="112"/>
  <c r="F93" i="112"/>
  <c r="F188" i="112"/>
  <c r="J98" i="112"/>
  <c r="J23" i="112"/>
  <c r="J182" i="112"/>
  <c r="J31" i="112"/>
  <c r="F31" i="112"/>
  <c r="J152" i="112"/>
  <c r="J119" i="112"/>
  <c r="J56" i="112"/>
  <c r="J243" i="112"/>
  <c r="F243" i="112"/>
  <c r="F207" i="112"/>
  <c r="J140" i="112"/>
  <c r="F16" i="112"/>
  <c r="J105" i="112"/>
  <c r="F149" i="112"/>
  <c r="F51" i="112"/>
  <c r="J193" i="112"/>
  <c r="J30" i="112"/>
  <c r="J210" i="112"/>
  <c r="F125" i="112"/>
  <c r="F129" i="112"/>
  <c r="J218" i="112"/>
  <c r="F201" i="112"/>
  <c r="J240" i="112"/>
  <c r="J146" i="112"/>
  <c r="F204" i="112"/>
  <c r="F50" i="112"/>
  <c r="J173" i="112"/>
  <c r="J13" i="112"/>
  <c r="J51" i="112"/>
  <c r="F43" i="112"/>
  <c r="J112" i="112"/>
  <c r="F126" i="112"/>
  <c r="F213" i="112"/>
  <c r="J74" i="112"/>
  <c r="J246" i="112"/>
  <c r="J135" i="112"/>
  <c r="F163" i="112"/>
  <c r="F214" i="112"/>
  <c r="F118" i="112"/>
  <c r="J156" i="112"/>
  <c r="J209" i="112"/>
  <c r="F61" i="112"/>
  <c r="J245" i="112"/>
  <c r="J255" i="112"/>
  <c r="J238" i="112"/>
  <c r="F224" i="112"/>
  <c r="F193" i="112"/>
  <c r="F158" i="112"/>
  <c r="F157" i="112"/>
  <c r="J11" i="112"/>
  <c r="J138" i="112"/>
  <c r="F29" i="112"/>
  <c r="J37" i="112"/>
  <c r="F156" i="112"/>
  <c r="F209" i="112"/>
  <c r="F194" i="112"/>
  <c r="J234" i="112"/>
  <c r="J154" i="112"/>
  <c r="J72" i="112"/>
  <c r="J109" i="112"/>
  <c r="J250" i="112"/>
  <c r="F37" i="112"/>
  <c r="J185" i="112"/>
  <c r="J204" i="112"/>
  <c r="J172" i="112"/>
  <c r="J40" i="112"/>
  <c r="J247" i="112"/>
  <c r="J99" i="112"/>
  <c r="F161" i="112"/>
  <c r="F135" i="112"/>
  <c r="F196" i="112"/>
  <c r="F143" i="112"/>
  <c r="F178" i="112"/>
  <c r="J50" i="112"/>
  <c r="J86" i="112"/>
  <c r="F155" i="112"/>
  <c r="J52" i="112"/>
  <c r="F79" i="112"/>
  <c r="F182" i="112"/>
  <c r="F174" i="112"/>
  <c r="J227" i="112"/>
  <c r="J170" i="112"/>
  <c r="F117" i="112"/>
  <c r="F208" i="112"/>
  <c r="F86" i="112"/>
  <c r="J191" i="112"/>
  <c r="F179" i="112"/>
  <c r="F78" i="112"/>
  <c r="F108" i="112"/>
  <c r="F76" i="112"/>
  <c r="J208" i="112"/>
  <c r="J19" i="112"/>
  <c r="J110" i="112"/>
  <c r="J222" i="112"/>
  <c r="F44" i="112"/>
  <c r="J256" i="112"/>
  <c r="J81" i="112"/>
  <c r="J35" i="112"/>
  <c r="F34" i="112"/>
  <c r="F15" i="112"/>
  <c r="F106" i="112"/>
  <c r="J232" i="112"/>
  <c r="J220" i="112"/>
  <c r="F48" i="112"/>
  <c r="J9" i="112"/>
  <c r="F12" i="112"/>
  <c r="J103" i="112"/>
  <c r="J94" i="112"/>
  <c r="F96" i="112"/>
  <c r="F173" i="112"/>
  <c r="J15" i="112"/>
  <c r="F197" i="112"/>
  <c r="J258" i="112"/>
  <c r="F166" i="112"/>
  <c r="F219" i="112"/>
  <c r="J136" i="112"/>
  <c r="F11" i="112"/>
  <c r="J206" i="112"/>
  <c r="J108" i="112"/>
  <c r="J113" i="112"/>
  <c r="F216" i="112"/>
  <c r="F65" i="112"/>
  <c r="J187" i="112"/>
  <c r="J223" i="112"/>
  <c r="F89" i="112"/>
  <c r="F134" i="112"/>
  <c r="F180" i="112"/>
  <c r="J179" i="112"/>
  <c r="J5" i="112"/>
  <c r="F103" i="112"/>
  <c r="J77" i="112"/>
  <c r="J82" i="112"/>
  <c r="J63" i="112"/>
  <c r="F9" i="112"/>
  <c r="F218" i="112"/>
  <c r="J85" i="112"/>
  <c r="F73" i="112"/>
  <c r="J58" i="112"/>
  <c r="J125" i="112"/>
  <c r="J29" i="112"/>
  <c r="J102" i="112"/>
  <c r="F133" i="112"/>
  <c r="J32" i="112"/>
  <c r="F70" i="112"/>
  <c r="F100" i="112"/>
  <c r="F257" i="112"/>
  <c r="F189" i="112"/>
  <c r="J252" i="112"/>
  <c r="F112" i="112"/>
  <c r="F221" i="112"/>
  <c r="J196" i="112"/>
  <c r="F146" i="112"/>
  <c r="J148" i="112"/>
  <c r="J68" i="112"/>
  <c r="J197" i="112"/>
  <c r="F185" i="112"/>
  <c r="F62" i="112"/>
  <c r="F154" i="112"/>
  <c r="J71" i="112"/>
  <c r="J100" i="112"/>
  <c r="J217" i="112"/>
  <c r="J95" i="112"/>
  <c r="J62" i="112"/>
  <c r="F228" i="112"/>
  <c r="F8" i="112"/>
  <c r="F165" i="112"/>
  <c r="J131" i="112"/>
  <c r="J4" i="112"/>
  <c r="J141" i="112"/>
  <c r="J21" i="112"/>
  <c r="F130" i="112"/>
  <c r="J25" i="112"/>
  <c r="J158" i="112"/>
  <c r="F6" i="112"/>
  <c r="J233" i="112"/>
  <c r="J151" i="112"/>
  <c r="F223" i="112"/>
  <c r="F148" i="112"/>
  <c r="J183" i="112"/>
  <c r="J150" i="112"/>
  <c r="J195" i="112"/>
  <c r="F24" i="112"/>
  <c r="F227" i="112"/>
  <c r="J221" i="112"/>
  <c r="J10" i="112"/>
  <c r="F57" i="112"/>
  <c r="F235" i="112"/>
  <c r="F141" i="112"/>
  <c r="J43" i="112"/>
  <c r="F23" i="112"/>
  <c r="F122" i="112"/>
  <c r="J248" i="112"/>
  <c r="J167" i="112"/>
  <c r="J120" i="112"/>
  <c r="J226" i="112"/>
  <c r="J139" i="112"/>
  <c r="F230" i="112"/>
  <c r="F25" i="112"/>
  <c r="F38" i="112"/>
  <c r="J251" i="112"/>
  <c r="F152" i="112"/>
  <c r="F200" i="112"/>
  <c r="F186" i="112"/>
  <c r="F144" i="112"/>
  <c r="F190" i="112"/>
  <c r="J16" i="112"/>
  <c r="J49" i="112"/>
  <c r="F92" i="112"/>
  <c r="F140" i="112"/>
  <c r="F19" i="112"/>
  <c r="J117" i="112"/>
  <c r="F36" i="112"/>
  <c r="F101" i="112"/>
  <c r="J157" i="112"/>
  <c r="F98" i="112"/>
  <c r="F131" i="112"/>
  <c r="F151" i="112"/>
  <c r="J236" i="112"/>
  <c r="J133" i="112"/>
  <c r="F102" i="112"/>
  <c r="F259" i="112"/>
  <c r="J48" i="112"/>
  <c r="F21" i="112"/>
  <c r="F236" i="112"/>
  <c r="J147" i="112"/>
  <c r="J213" i="112"/>
  <c r="J244" i="112"/>
  <c r="J8" i="112"/>
  <c r="F90" i="112"/>
  <c r="J92" i="112"/>
  <c r="J97" i="112"/>
  <c r="J24" i="112"/>
  <c r="F111" i="112"/>
  <c r="J75" i="112"/>
  <c r="J126" i="112"/>
  <c r="J155" i="112"/>
  <c r="J201" i="112"/>
  <c r="J130" i="112"/>
  <c r="F247" i="112"/>
  <c r="F85" i="112"/>
  <c r="F212" i="112"/>
  <c r="J87" i="112"/>
  <c r="F240" i="112"/>
  <c r="J115" i="112"/>
  <c r="F39" i="112"/>
  <c r="J163" i="112"/>
  <c r="J176" i="112"/>
  <c r="J80" i="112"/>
  <c r="F121" i="112"/>
  <c r="F150" i="112"/>
  <c r="F245" i="112"/>
  <c r="F159" i="112"/>
  <c r="J161" i="112"/>
  <c r="F69" i="112"/>
  <c r="F7" i="112"/>
  <c r="F198" i="112"/>
  <c r="F203" i="112"/>
  <c r="J90" i="112"/>
  <c r="J42" i="112"/>
  <c r="J175" i="112"/>
  <c r="J64" i="112"/>
  <c r="J57" i="112"/>
  <c r="J61" i="112"/>
  <c r="F97" i="112"/>
  <c r="F116" i="112"/>
  <c r="F202" i="112"/>
  <c r="F120" i="112"/>
  <c r="F67" i="112"/>
  <c r="J122" i="112"/>
  <c r="J166" i="112"/>
  <c r="J66" i="112"/>
  <c r="J111" i="112"/>
  <c r="F177" i="112"/>
  <c r="F30" i="112"/>
  <c r="F220" i="112"/>
  <c r="J159" i="112"/>
  <c r="F171" i="112"/>
  <c r="F229" i="112"/>
  <c r="J207" i="112"/>
  <c r="J34" i="112"/>
  <c r="J47" i="112"/>
  <c r="F22" i="112"/>
  <c r="J184" i="112"/>
  <c r="F109" i="112"/>
  <c r="J162" i="112"/>
  <c r="J203" i="112"/>
  <c r="J91" i="112"/>
  <c r="J129" i="112"/>
  <c r="J93" i="112"/>
  <c r="F10" i="112"/>
  <c r="F184" i="112"/>
  <c r="J200" i="112"/>
  <c r="J60" i="112"/>
  <c r="J132" i="112"/>
  <c r="J225" i="112"/>
  <c r="F32" i="112"/>
  <c r="J257" i="112"/>
  <c r="F33" i="112"/>
  <c r="J38" i="112"/>
  <c r="F253" i="112"/>
  <c r="F168" i="112"/>
  <c r="F211" i="112"/>
  <c r="J78" i="112"/>
  <c r="J55" i="112"/>
  <c r="F60" i="112"/>
  <c r="F192" i="112"/>
  <c r="F87" i="112"/>
  <c r="F20" i="112"/>
  <c r="J190" i="112"/>
  <c r="F55" i="112"/>
  <c r="F128" i="112"/>
  <c r="F63" i="112"/>
  <c r="J7" i="112"/>
  <c r="J70" i="112"/>
  <c r="J160" i="112"/>
  <c r="J219" i="112"/>
  <c r="F164" i="112"/>
  <c r="J235" i="112"/>
  <c r="F58" i="112"/>
  <c r="J128" i="112"/>
  <c r="J254" i="112"/>
  <c r="F139" i="112"/>
  <c r="J171" i="112"/>
  <c r="F254" i="112"/>
  <c r="F56" i="112"/>
  <c r="F231" i="112"/>
  <c r="F74" i="112"/>
  <c r="J45" i="112"/>
  <c r="J142" i="112"/>
  <c r="F82" i="112"/>
  <c r="F206" i="112"/>
  <c r="J164" i="112"/>
  <c r="F210" i="112"/>
  <c r="J46" i="112"/>
  <c r="J39" i="112"/>
  <c r="J212" i="112"/>
  <c r="J165" i="112"/>
  <c r="F138" i="112"/>
  <c r="F175" i="112"/>
  <c r="F26" i="112"/>
  <c r="F191" i="112"/>
  <c r="F99" i="112"/>
  <c r="F110" i="112"/>
  <c r="J224" i="112"/>
  <c r="F246" i="112"/>
  <c r="J96" i="112"/>
  <c r="F68" i="112"/>
  <c r="F45" i="112"/>
  <c r="F13" i="112"/>
  <c r="F4" i="112"/>
  <c r="J88" i="112"/>
  <c r="F75" i="112"/>
  <c r="F242" i="112"/>
  <c r="J188" i="112"/>
  <c r="J17" i="112"/>
  <c r="F239" i="112"/>
  <c r="J186" i="112"/>
  <c r="F105" i="112"/>
  <c r="F66" i="112"/>
  <c r="F114" i="112"/>
  <c r="F169" i="112"/>
  <c r="J194" i="112"/>
  <c r="J114" i="112"/>
  <c r="J198" i="112"/>
  <c r="F107" i="112"/>
  <c r="F160" i="112"/>
  <c r="F17" i="112"/>
  <c r="J124" i="112"/>
  <c r="J202" i="112"/>
  <c r="F5" i="112"/>
  <c r="F258" i="112"/>
  <c r="J20" i="112"/>
  <c r="J59" i="112"/>
  <c r="J145" i="112"/>
  <c r="J253" i="112"/>
  <c r="J65" i="112"/>
  <c r="F28" i="112"/>
  <c r="F80" i="112"/>
  <c r="F248" i="112"/>
  <c r="F137" i="112"/>
  <c r="F215" i="112"/>
  <c r="F72" i="112"/>
  <c r="F241" i="112"/>
  <c r="J180" i="112"/>
  <c r="F35" i="112"/>
  <c r="J123" i="112"/>
  <c r="J116" i="112"/>
  <c r="J215" i="112"/>
  <c r="F46" i="112"/>
  <c r="F94" i="112"/>
  <c r="J228" i="112"/>
  <c r="J242" i="112"/>
  <c r="J211" i="112"/>
  <c r="J229" i="112"/>
  <c r="F59" i="112"/>
  <c r="F172" i="112"/>
  <c r="J12" i="112"/>
  <c r="F255" i="112"/>
  <c r="F40" i="112"/>
  <c r="J259" i="112"/>
  <c r="F238" i="112"/>
  <c r="J27" i="112"/>
  <c r="F170" i="112"/>
  <c r="J107" i="112"/>
  <c r="F127" i="112"/>
  <c r="J178" i="112"/>
  <c r="J73" i="112"/>
  <c r="J143" i="112"/>
  <c r="F88" i="112"/>
  <c r="J137" i="112"/>
  <c r="F104" i="112"/>
  <c r="F27" i="112"/>
  <c r="J205" i="112"/>
  <c r="F53" i="112"/>
  <c r="J181" i="112"/>
  <c r="J83" i="112"/>
  <c r="F217" i="112"/>
  <c r="F225" i="112"/>
  <c r="J153" i="112"/>
  <c r="J216" i="112"/>
  <c r="J101" i="112"/>
  <c r="J214" i="112"/>
  <c r="J18" i="112"/>
  <c r="F232" i="112"/>
  <c r="J89" i="112"/>
  <c r="F162" i="112"/>
  <c r="F54" i="112"/>
  <c r="F49" i="112"/>
  <c r="J14" i="112"/>
  <c r="F47" i="112"/>
  <c r="F113" i="112"/>
  <c r="J36" i="112"/>
  <c r="F256" i="112"/>
  <c r="F132" i="112"/>
  <c r="J230" i="112"/>
  <c r="J53" i="112"/>
  <c r="F115" i="112"/>
  <c r="J106" i="112"/>
  <c r="F226" i="112"/>
  <c r="F124" i="112"/>
  <c r="F181" i="112"/>
  <c r="F119" i="112"/>
  <c r="F167" i="112"/>
  <c r="F41" i="112"/>
  <c r="F136" i="112"/>
  <c r="J54" i="112"/>
  <c r="J199" i="112"/>
  <c r="J6" i="112"/>
  <c r="J134" i="112"/>
  <c r="F81" i="112"/>
  <c r="J169" i="112"/>
  <c r="F18" i="112"/>
  <c r="F222" i="112"/>
  <c r="J69" i="112"/>
  <c r="F234" i="112"/>
  <c r="F199" i="112"/>
  <c r="J149" i="112"/>
  <c r="J22" i="112"/>
  <c r="J241" i="112"/>
  <c r="J174" i="112"/>
  <c r="F84" i="112"/>
  <c r="F71" i="112"/>
  <c r="F205" i="112"/>
  <c r="J237" i="112"/>
  <c r="J189" i="112"/>
  <c r="F83" i="112"/>
  <c r="J192" i="112"/>
  <c r="F250" i="112"/>
  <c r="F145" i="112"/>
  <c r="F183" i="112"/>
  <c r="F77" i="112"/>
  <c r="J121" i="112"/>
  <c r="J168" i="112"/>
  <c r="F187" i="112"/>
  <c r="F142" i="112"/>
  <c r="J104" i="112"/>
  <c r="F52" i="112"/>
  <c r="F64" i="112"/>
  <c r="F249" i="112"/>
  <c r="F176" i="112"/>
  <c r="J33" i="112"/>
  <c r="F95" i="112"/>
  <c r="J249" i="112"/>
  <c r="F251" i="112"/>
  <c r="J177" i="112"/>
  <c r="F233" i="112"/>
  <c r="J67" i="112"/>
  <c r="J76" i="112"/>
  <c r="F123" i="112"/>
  <c r="J118" i="112"/>
  <c r="J28" i="112"/>
  <c r="F244" i="112"/>
  <c r="B116" i="48"/>
  <c r="B127" i="75"/>
  <c r="A127" i="48" s="1"/>
  <c r="C127" i="48" s="1"/>
  <c r="E127" i="75"/>
  <c r="D127" i="75"/>
  <c r="B127" i="48"/>
  <c r="B64" i="75"/>
  <c r="A78" i="48" s="1"/>
  <c r="C78" i="48" s="1"/>
  <c r="E64" i="75"/>
  <c r="D64" i="75"/>
  <c r="B13" i="48"/>
  <c r="B52" i="48"/>
  <c r="B47" i="48"/>
  <c r="D84" i="75"/>
  <c r="E84" i="75"/>
  <c r="B84" i="75"/>
  <c r="A57" i="48" s="1"/>
  <c r="C57" i="48" s="1"/>
  <c r="B84" i="48"/>
  <c r="E94" i="75"/>
  <c r="D94" i="75"/>
  <c r="B94" i="75"/>
  <c r="A94" i="48" s="1"/>
  <c r="C94" i="48" s="1"/>
  <c r="B126" i="75"/>
  <c r="A126" i="48" s="1"/>
  <c r="C126" i="48" s="1"/>
  <c r="D126" i="75"/>
  <c r="E126" i="75"/>
  <c r="E67" i="75"/>
  <c r="D67" i="75"/>
  <c r="B67" i="75"/>
  <c r="A84" i="48" s="1"/>
  <c r="C84" i="48" s="1"/>
  <c r="B100" i="48"/>
  <c r="B26" i="48"/>
  <c r="B32" i="48"/>
  <c r="D91" i="75"/>
  <c r="E91" i="75"/>
  <c r="B91" i="75"/>
  <c r="A91" i="48" s="1"/>
  <c r="C91" i="48" s="1"/>
  <c r="B44" i="48"/>
  <c r="E113" i="75"/>
  <c r="B113" i="75"/>
  <c r="A113" i="48" s="1"/>
  <c r="C113" i="48" s="1"/>
  <c r="D113" i="75"/>
  <c r="B10" i="48"/>
  <c r="D80" i="75"/>
  <c r="E80" i="75"/>
  <c r="B80" i="75"/>
  <c r="A65" i="48" s="1"/>
  <c r="C65" i="48" s="1"/>
  <c r="E124" i="75"/>
  <c r="D124" i="75"/>
  <c r="B124" i="75"/>
  <c r="A124" i="48" s="1"/>
  <c r="C124" i="48" s="1"/>
  <c r="B46" i="48"/>
  <c r="B69" i="48"/>
  <c r="B128" i="48"/>
  <c r="B41" i="48"/>
  <c r="B83" i="48"/>
  <c r="D119" i="75"/>
  <c r="E119" i="75"/>
  <c r="B119" i="75"/>
  <c r="A119" i="48" s="1"/>
  <c r="C119" i="48" s="1"/>
  <c r="E78" i="75"/>
  <c r="D78" i="75"/>
  <c r="B78" i="75"/>
  <c r="A69" i="48" s="1"/>
  <c r="C69" i="48" s="1"/>
  <c r="B102" i="48"/>
  <c r="B3" i="48"/>
  <c r="B95" i="75"/>
  <c r="A95" i="48" s="1"/>
  <c r="C95" i="48" s="1"/>
  <c r="D95" i="75"/>
  <c r="E95" i="75"/>
  <c r="B122" i="48"/>
  <c r="B99" i="48"/>
  <c r="E85" i="75"/>
  <c r="B85" i="75"/>
  <c r="A55" i="48" s="1"/>
  <c r="C55" i="48" s="1"/>
  <c r="D85" i="75"/>
  <c r="B33" i="48"/>
  <c r="B65" i="48"/>
  <c r="B5" i="48"/>
  <c r="B43" i="48"/>
  <c r="B62" i="75"/>
  <c r="A74" i="48" s="1"/>
  <c r="C74" i="48" s="1"/>
  <c r="E62" i="75"/>
  <c r="D62" i="75"/>
  <c r="B18" i="48"/>
  <c r="E83" i="75"/>
  <c r="D83" i="75"/>
  <c r="B83" i="75"/>
  <c r="A59" i="48" s="1"/>
  <c r="C59" i="48" s="1"/>
  <c r="E90" i="75"/>
  <c r="B90" i="75"/>
  <c r="A90" i="48" s="1"/>
  <c r="C90" i="48" s="1"/>
  <c r="D90" i="75"/>
  <c r="E129" i="75"/>
  <c r="B129" i="75"/>
  <c r="A129" i="48" s="1"/>
  <c r="C129" i="48" s="1"/>
  <c r="D129" i="75"/>
  <c r="B60" i="48"/>
  <c r="B125" i="75"/>
  <c r="A125" i="48" s="1"/>
  <c r="C125" i="48" s="1"/>
  <c r="E125" i="75"/>
  <c r="D125" i="75"/>
  <c r="D89" i="75"/>
  <c r="E89" i="75"/>
  <c r="B89" i="75"/>
  <c r="A89" i="48" s="1"/>
  <c r="C89" i="48" s="1"/>
  <c r="B73" i="48"/>
  <c r="B108" i="48"/>
  <c r="B54" i="48"/>
  <c r="D71" i="75"/>
  <c r="B71" i="75"/>
  <c r="A83" i="48" s="1"/>
  <c r="C83" i="48" s="1"/>
  <c r="E71" i="75"/>
  <c r="B48" i="48"/>
  <c r="B125" i="48"/>
  <c r="B118" i="75"/>
  <c r="A118" i="48" s="1"/>
  <c r="C118" i="48" s="1"/>
  <c r="D118" i="75"/>
  <c r="E118" i="75"/>
  <c r="B77" i="48"/>
  <c r="B53" i="48"/>
  <c r="D93" i="75"/>
  <c r="E93" i="75"/>
  <c r="B93" i="75"/>
  <c r="A93" i="48" s="1"/>
  <c r="C93" i="48" s="1"/>
  <c r="D122" i="75"/>
  <c r="B122" i="75"/>
  <c r="A122" i="48" s="1"/>
  <c r="C122" i="48" s="1"/>
  <c r="E122" i="75"/>
  <c r="D101" i="75"/>
  <c r="E101" i="75"/>
  <c r="B101" i="75"/>
  <c r="A101" i="48" s="1"/>
  <c r="C101" i="48" s="1"/>
  <c r="B62" i="48"/>
  <c r="E107" i="75"/>
  <c r="D107" i="75"/>
  <c r="B107" i="75"/>
  <c r="A107" i="48" s="1"/>
  <c r="C107" i="48" s="1"/>
  <c r="B50" i="48"/>
  <c r="B111" i="48"/>
  <c r="D110" i="75"/>
  <c r="B110" i="75"/>
  <c r="A110" i="48" s="1"/>
  <c r="C110" i="48" s="1"/>
  <c r="E110" i="75"/>
  <c r="B30" i="48"/>
  <c r="B24" i="48"/>
  <c r="B119" i="48"/>
  <c r="B130" i="48"/>
  <c r="D109" i="75"/>
  <c r="B109" i="75"/>
  <c r="A109" i="48" s="1"/>
  <c r="C109" i="48" s="1"/>
  <c r="E109" i="75"/>
  <c r="E77" i="75"/>
  <c r="B77" i="75"/>
  <c r="A71" i="48" s="1"/>
  <c r="C71" i="48" s="1"/>
  <c r="D77" i="75"/>
  <c r="E105" i="75"/>
  <c r="D105" i="75"/>
  <c r="B105" i="75"/>
  <c r="A105" i="48" s="1"/>
  <c r="C105" i="48" s="1"/>
  <c r="B98" i="48"/>
  <c r="B71" i="48"/>
  <c r="B57" i="48"/>
  <c r="B106" i="48"/>
  <c r="B61" i="48"/>
  <c r="B109" i="48"/>
  <c r="B87" i="48"/>
  <c r="D123" i="75"/>
  <c r="B123" i="75"/>
  <c r="A123" i="48" s="1"/>
  <c r="C123" i="48" s="1"/>
  <c r="E123" i="75"/>
  <c r="B92" i="48"/>
  <c r="B82" i="48"/>
  <c r="B59" i="48"/>
  <c r="B69" i="75"/>
  <c r="A87" i="48" s="1"/>
  <c r="C87" i="48" s="1"/>
  <c r="D69" i="75"/>
  <c r="E69" i="75"/>
  <c r="B7" i="48"/>
  <c r="B123" i="48"/>
  <c r="B68" i="75"/>
  <c r="A86" i="48" s="1"/>
  <c r="C86" i="48" s="1"/>
  <c r="D68" i="75"/>
  <c r="E68" i="75"/>
  <c r="B97" i="48"/>
  <c r="E88" i="75"/>
  <c r="D88" i="75"/>
  <c r="B88" i="75"/>
  <c r="A88" i="48" s="1"/>
  <c r="C88" i="48" s="1"/>
  <c r="B17" i="48"/>
  <c r="B90" i="48"/>
  <c r="D4" i="111"/>
  <c r="D8" i="111"/>
  <c r="D7" i="111"/>
  <c r="D5" i="111"/>
  <c r="D6" i="111"/>
  <c r="B126" i="48"/>
  <c r="B74" i="75"/>
  <c r="A77" i="48" s="1"/>
  <c r="C77" i="48" s="1"/>
  <c r="D74" i="75"/>
  <c r="E74" i="75"/>
  <c r="B58" i="48"/>
  <c r="B63" i="75"/>
  <c r="A76" i="48" s="1"/>
  <c r="C76" i="48" s="1"/>
  <c r="E63" i="75"/>
  <c r="D63" i="75"/>
  <c r="B96" i="48"/>
  <c r="B121" i="48"/>
  <c r="B104" i="48"/>
  <c r="B36" i="48"/>
  <c r="B39" i="48"/>
  <c r="B16" i="48"/>
  <c r="B67" i="48"/>
  <c r="B112" i="75"/>
  <c r="A112" i="48" s="1"/>
  <c r="C112" i="48" s="1"/>
  <c r="E112" i="75"/>
  <c r="D112" i="75"/>
  <c r="D87" i="75"/>
  <c r="B87" i="75"/>
  <c r="A51" i="48" s="1"/>
  <c r="C51" i="48" s="1"/>
  <c r="E87" i="75"/>
  <c r="B29" i="48"/>
  <c r="AH2" i="75" l="1"/>
  <c r="AA2" i="75"/>
  <c r="AB2" i="75" s="1"/>
  <c r="V2" i="75"/>
  <c r="S2" i="75"/>
  <c r="O2" i="75" s="1"/>
  <c r="AJ116" i="47"/>
  <c r="AK116" i="47"/>
  <c r="A425" i="61"/>
  <c r="AI116" i="47"/>
  <c r="AI101" i="47"/>
  <c r="AJ101" i="47"/>
  <c r="A365" i="61"/>
  <c r="AK101" i="47"/>
  <c r="AI129" i="47"/>
  <c r="AK129" i="47"/>
  <c r="AJ129" i="47"/>
  <c r="A477" i="61"/>
  <c r="AJ139" i="47"/>
  <c r="AI139" i="47"/>
  <c r="AK139" i="47"/>
  <c r="AJ106" i="47"/>
  <c r="A385" i="61"/>
  <c r="AK106" i="47"/>
  <c r="AI106" i="47"/>
  <c r="A333" i="61"/>
  <c r="AI93" i="47"/>
  <c r="AJ93" i="47"/>
  <c r="AK93" i="47"/>
  <c r="A449" i="61"/>
  <c r="AJ122" i="47"/>
  <c r="AI122" i="47"/>
  <c r="AK122" i="47"/>
  <c r="AK70" i="47"/>
  <c r="AJ70" i="47"/>
  <c r="A241" i="61"/>
  <c r="AI70" i="47"/>
  <c r="AK73" i="47"/>
  <c r="AI73" i="47"/>
  <c r="AJ73" i="47"/>
  <c r="A253" i="61"/>
  <c r="AI148" i="47"/>
  <c r="AK148" i="47"/>
  <c r="AJ148" i="47"/>
  <c r="X2" i="75"/>
  <c r="Y2" i="75" s="1"/>
  <c r="AK114" i="47"/>
  <c r="A417" i="61"/>
  <c r="AJ114" i="47"/>
  <c r="AI114" i="47"/>
  <c r="A377" i="61"/>
  <c r="AK104" i="47"/>
  <c r="AI104" i="47"/>
  <c r="AJ104" i="47"/>
  <c r="AJ82" i="47"/>
  <c r="AI82" i="47"/>
  <c r="A289" i="61"/>
  <c r="AK82" i="47"/>
  <c r="A413" i="61"/>
  <c r="AK113" i="47"/>
  <c r="AJ113" i="47"/>
  <c r="AI113" i="47"/>
  <c r="AI103" i="47"/>
  <c r="AJ103" i="47"/>
  <c r="A373" i="61"/>
  <c r="AK103" i="47"/>
  <c r="AK71" i="47"/>
  <c r="AJ71" i="47"/>
  <c r="AI71" i="47"/>
  <c r="A245" i="61"/>
  <c r="AI108" i="47"/>
  <c r="AJ108" i="47"/>
  <c r="A393" i="61"/>
  <c r="AK108" i="47"/>
  <c r="A513" i="61"/>
  <c r="AI138" i="47"/>
  <c r="AK138" i="47"/>
  <c r="AJ138" i="47"/>
  <c r="A441" i="61"/>
  <c r="AI120" i="47"/>
  <c r="AJ120" i="47"/>
  <c r="AK120" i="47"/>
  <c r="AJ72" i="47"/>
  <c r="AI72" i="47"/>
  <c r="AK72" i="47"/>
  <c r="A249" i="61"/>
  <c r="A317" i="61"/>
  <c r="AI89" i="47"/>
  <c r="AJ89" i="47"/>
  <c r="AK89" i="47"/>
  <c r="AJ144" i="47"/>
  <c r="AI144" i="47"/>
  <c r="AK144" i="47"/>
  <c r="AJ107" i="47"/>
  <c r="AK107" i="47"/>
  <c r="AI107" i="47"/>
  <c r="A389" i="61"/>
  <c r="D3" i="111"/>
  <c r="AK115" i="47"/>
  <c r="AJ115" i="47"/>
  <c r="AI115" i="47"/>
  <c r="A421" i="61"/>
  <c r="AI128" i="47"/>
  <c r="A473" i="61"/>
  <c r="AJ128" i="47"/>
  <c r="AK128" i="47"/>
  <c r="AI110" i="47"/>
  <c r="AK110" i="47"/>
  <c r="A401" i="61"/>
  <c r="AJ110" i="47"/>
  <c r="AJ118" i="47"/>
  <c r="AK118" i="47"/>
  <c r="AI118" i="47"/>
  <c r="A433" i="61"/>
  <c r="AK117" i="47"/>
  <c r="AJ117" i="47"/>
  <c r="AI117" i="47"/>
  <c r="A429" i="61"/>
  <c r="AI133" i="47"/>
  <c r="AJ133" i="47"/>
  <c r="A493" i="61"/>
  <c r="AK133" i="47"/>
  <c r="AI132" i="47"/>
  <c r="AJ132" i="47"/>
  <c r="A489" i="61"/>
  <c r="AK132" i="47"/>
  <c r="A353" i="61"/>
  <c r="AJ98" i="47"/>
  <c r="AK98" i="47"/>
  <c r="AI98" i="47"/>
  <c r="AI121" i="47"/>
  <c r="A445" i="61"/>
  <c r="AJ121" i="47"/>
  <c r="AK121" i="47"/>
  <c r="A481" i="61"/>
  <c r="AK130" i="47"/>
  <c r="AJ130" i="47"/>
  <c r="AI130" i="47"/>
  <c r="AK94" i="47"/>
  <c r="AI94" i="47"/>
  <c r="A337" i="61"/>
  <c r="AJ94" i="47"/>
  <c r="A305" i="61"/>
  <c r="AI86" i="47"/>
  <c r="AK86" i="47"/>
  <c r="AJ86" i="47"/>
  <c r="AJ111" i="47"/>
  <c r="A405" i="61"/>
  <c r="AK111" i="47"/>
  <c r="AI111" i="47"/>
  <c r="AK124" i="47"/>
  <c r="A457" i="61"/>
  <c r="AI124" i="47"/>
  <c r="AJ124" i="47"/>
  <c r="AK102" i="47"/>
  <c r="AI102" i="47"/>
  <c r="A369" i="61"/>
  <c r="AJ102" i="47"/>
  <c r="AJ96" i="47"/>
  <c r="AI96" i="47"/>
  <c r="A345" i="61"/>
  <c r="AK96" i="47"/>
  <c r="AJ74" i="47"/>
  <c r="AI74" i="47"/>
  <c r="AK74" i="47"/>
  <c r="A257" i="61"/>
  <c r="AK145" i="47"/>
  <c r="AJ145" i="47"/>
  <c r="AI145" i="47"/>
  <c r="AK127" i="47"/>
  <c r="AJ127" i="47"/>
  <c r="A469" i="61"/>
  <c r="AI127" i="47"/>
  <c r="AK81" i="47"/>
  <c r="A285" i="61"/>
  <c r="AI81" i="47"/>
  <c r="AJ81" i="47"/>
  <c r="AK141" i="47"/>
  <c r="AJ141" i="47"/>
  <c r="AI141" i="47"/>
  <c r="AD2" i="75"/>
  <c r="AE2" i="75" s="1"/>
  <c r="AI142" i="47"/>
  <c r="AK142" i="47"/>
  <c r="AJ142" i="47"/>
  <c r="AK75" i="47"/>
  <c r="AJ75" i="47"/>
  <c r="AI75" i="47"/>
  <c r="A261" i="61"/>
  <c r="AK95" i="47"/>
  <c r="A341" i="61"/>
  <c r="AI95" i="47"/>
  <c r="AJ95" i="47"/>
  <c r="AK84" i="47"/>
  <c r="A297" i="61"/>
  <c r="AI84" i="47"/>
  <c r="AJ84" i="47"/>
  <c r="AJ77" i="47"/>
  <c r="AK77" i="47"/>
  <c r="AI77" i="47"/>
  <c r="A269" i="61"/>
  <c r="AK80" i="47"/>
  <c r="A281" i="61"/>
  <c r="AI80" i="47"/>
  <c r="AJ80" i="47"/>
  <c r="AK143" i="47"/>
  <c r="AJ143" i="47"/>
  <c r="AI143" i="47"/>
  <c r="AI99" i="47"/>
  <c r="AJ99" i="47"/>
  <c r="AK99" i="47"/>
  <c r="A357" i="61"/>
  <c r="AI146" i="47"/>
  <c r="AK146" i="47"/>
  <c r="AJ146" i="47"/>
  <c r="AJ119" i="47"/>
  <c r="AI119" i="47"/>
  <c r="A437" i="61"/>
  <c r="AK119" i="47"/>
  <c r="AJ131" i="47"/>
  <c r="AI131" i="47"/>
  <c r="A485" i="61"/>
  <c r="AK131" i="47"/>
  <c r="A505" i="61"/>
  <c r="AI136" i="47"/>
  <c r="AJ136" i="47"/>
  <c r="AK136" i="47"/>
  <c r="AI91" i="47"/>
  <c r="AK91" i="47"/>
  <c r="A325" i="61"/>
  <c r="AJ91" i="47"/>
  <c r="AJ78" i="47"/>
  <c r="AI78" i="47"/>
  <c r="AK78" i="47"/>
  <c r="A273" i="61"/>
  <c r="AI123" i="47"/>
  <c r="A453" i="61"/>
  <c r="AJ123" i="47"/>
  <c r="AK123" i="47"/>
  <c r="AK109" i="47"/>
  <c r="AI109" i="47"/>
  <c r="A397" i="61"/>
  <c r="AJ109" i="47"/>
  <c r="AK100" i="47"/>
  <c r="AJ100" i="47"/>
  <c r="AI100" i="47"/>
  <c r="A361" i="61"/>
  <c r="AI147" i="47"/>
  <c r="AJ147" i="47"/>
  <c r="AK147" i="47"/>
  <c r="A329" i="61"/>
  <c r="AI92" i="47"/>
  <c r="AK92" i="47"/>
  <c r="AJ92" i="47"/>
  <c r="AK85" i="47"/>
  <c r="A301" i="61"/>
  <c r="AI85" i="47"/>
  <c r="AJ85" i="47"/>
  <c r="AI87" i="47"/>
  <c r="A309" i="61"/>
  <c r="AK87" i="47"/>
  <c r="AJ87" i="47"/>
  <c r="AK137" i="47"/>
  <c r="AJ137" i="47"/>
  <c r="A509" i="61"/>
  <c r="AI137" i="47"/>
  <c r="A381" i="61"/>
  <c r="AK105" i="47"/>
  <c r="AI105" i="47"/>
  <c r="AJ105" i="47"/>
  <c r="AI125" i="47"/>
  <c r="AJ125" i="47"/>
  <c r="A461" i="61"/>
  <c r="AK125" i="47"/>
  <c r="AK112" i="47"/>
  <c r="AJ112" i="47"/>
  <c r="AI112" i="47"/>
  <c r="A409" i="61"/>
  <c r="A313" i="61"/>
  <c r="AJ88" i="47"/>
  <c r="AI88" i="47"/>
  <c r="AK88" i="47"/>
  <c r="AJ97" i="47"/>
  <c r="A349" i="61"/>
  <c r="AK97" i="47"/>
  <c r="AI97" i="47"/>
  <c r="AK135" i="47"/>
  <c r="AJ135" i="47"/>
  <c r="AI135" i="47"/>
  <c r="A501" i="61"/>
  <c r="A265" i="61"/>
  <c r="AK76" i="47"/>
  <c r="AI76" i="47"/>
  <c r="AJ76" i="47"/>
  <c r="AK79" i="47"/>
  <c r="AI79" i="47"/>
  <c r="A277" i="61"/>
  <c r="AJ79" i="47"/>
  <c r="AI126" i="47"/>
  <c r="AK126" i="47"/>
  <c r="AJ126" i="47"/>
  <c r="A465" i="61"/>
  <c r="AK140" i="47"/>
  <c r="AJ140" i="47"/>
  <c r="AI140" i="47"/>
  <c r="AI83" i="47"/>
  <c r="AK83" i="47"/>
  <c r="A293" i="61"/>
  <c r="AJ83" i="47"/>
  <c r="AI134" i="47"/>
  <c r="AJ134" i="47"/>
  <c r="AK134" i="47"/>
  <c r="A497" i="61"/>
  <c r="A321" i="61"/>
  <c r="AK90" i="47"/>
  <c r="AI90" i="47"/>
  <c r="AJ90" i="47"/>
  <c r="N2" i="75" l="1"/>
  <c r="I321" i="61"/>
  <c r="H321" i="61"/>
  <c r="G321" i="61"/>
  <c r="H341" i="61"/>
  <c r="I341" i="61"/>
  <c r="G341" i="61"/>
  <c r="G493" i="61"/>
  <c r="I493" i="61"/>
  <c r="H493" i="61"/>
  <c r="G333" i="61"/>
  <c r="I333" i="61"/>
  <c r="H333" i="61"/>
  <c r="I445" i="61"/>
  <c r="G445" i="61"/>
  <c r="H445" i="61"/>
  <c r="I249" i="61"/>
  <c r="H249" i="61"/>
  <c r="G249" i="61"/>
  <c r="H385" i="61"/>
  <c r="I385" i="61"/>
  <c r="G385" i="61"/>
  <c r="G309" i="61"/>
  <c r="H309" i="61"/>
  <c r="I309" i="61"/>
  <c r="H449" i="61"/>
  <c r="G449" i="61"/>
  <c r="I449" i="61"/>
  <c r="I497" i="61"/>
  <c r="H497" i="61"/>
  <c r="G497" i="61"/>
  <c r="G277" i="61"/>
  <c r="I277" i="61"/>
  <c r="H277" i="61"/>
  <c r="H313" i="61"/>
  <c r="G313" i="61"/>
  <c r="I313" i="61"/>
  <c r="I361" i="61"/>
  <c r="H361" i="61"/>
  <c r="G361" i="61"/>
  <c r="H257" i="61"/>
  <c r="G257" i="61"/>
  <c r="I257" i="61"/>
  <c r="H3" i="112"/>
  <c r="S4" i="47"/>
  <c r="I253" i="61"/>
  <c r="G253" i="61"/>
  <c r="H253" i="61"/>
  <c r="I317" i="61"/>
  <c r="H317" i="61"/>
  <c r="G317" i="61"/>
  <c r="I269" i="61"/>
  <c r="H269" i="61"/>
  <c r="G269" i="61"/>
  <c r="H505" i="61"/>
  <c r="G505" i="61"/>
  <c r="I505" i="61"/>
  <c r="I357" i="61"/>
  <c r="G357" i="61"/>
  <c r="H357" i="61"/>
  <c r="G305" i="61"/>
  <c r="H305" i="61"/>
  <c r="I305" i="61"/>
  <c r="H405" i="61"/>
  <c r="I405" i="61"/>
  <c r="G405" i="61"/>
  <c r="I401" i="61"/>
  <c r="H401" i="61"/>
  <c r="G401" i="61"/>
  <c r="H389" i="61"/>
  <c r="I389" i="61"/>
  <c r="G389" i="61"/>
  <c r="I413" i="61"/>
  <c r="H413" i="61"/>
  <c r="G413" i="61"/>
  <c r="H477" i="61"/>
  <c r="I477" i="61"/>
  <c r="G477" i="61"/>
  <c r="I373" i="61"/>
  <c r="G373" i="61"/>
  <c r="H373" i="61"/>
  <c r="I377" i="61"/>
  <c r="G377" i="61"/>
  <c r="H377" i="61"/>
  <c r="G409" i="61"/>
  <c r="I409" i="61"/>
  <c r="H409" i="61"/>
  <c r="H301" i="61"/>
  <c r="G301" i="61"/>
  <c r="I301" i="61"/>
  <c r="I397" i="61"/>
  <c r="G397" i="61"/>
  <c r="H397" i="61"/>
  <c r="I345" i="61"/>
  <c r="G345" i="61"/>
  <c r="H345" i="61"/>
  <c r="H337" i="61"/>
  <c r="G337" i="61"/>
  <c r="I337" i="61"/>
  <c r="I417" i="61"/>
  <c r="G417" i="61"/>
  <c r="H417" i="61"/>
  <c r="H425" i="61"/>
  <c r="I425" i="61"/>
  <c r="G425" i="61"/>
  <c r="H465" i="61"/>
  <c r="G465" i="61"/>
  <c r="I465" i="61"/>
  <c r="G261" i="61"/>
  <c r="H261" i="61"/>
  <c r="I261" i="61"/>
  <c r="G293" i="61"/>
  <c r="I293" i="61"/>
  <c r="H293" i="61"/>
  <c r="G485" i="61"/>
  <c r="I485" i="61"/>
  <c r="H485" i="61"/>
  <c r="I265" i="61"/>
  <c r="G265" i="61"/>
  <c r="H265" i="61"/>
  <c r="I381" i="61"/>
  <c r="G381" i="61"/>
  <c r="H381" i="61"/>
  <c r="H441" i="61"/>
  <c r="G441" i="61"/>
  <c r="I441" i="61"/>
  <c r="G325" i="61"/>
  <c r="I325" i="61"/>
  <c r="H325" i="61"/>
  <c r="G241" i="61"/>
  <c r="I241" i="61"/>
  <c r="H241" i="61"/>
  <c r="H473" i="61"/>
  <c r="G473" i="61"/>
  <c r="I473" i="61"/>
  <c r="H365" i="61"/>
  <c r="G365" i="61"/>
  <c r="I365" i="61"/>
  <c r="G297" i="61"/>
  <c r="H297" i="61"/>
  <c r="I297" i="61"/>
  <c r="H353" i="61"/>
  <c r="G353" i="61"/>
  <c r="I353" i="61"/>
  <c r="G513" i="61"/>
  <c r="I513" i="61"/>
  <c r="H513" i="61"/>
  <c r="I393" i="61"/>
  <c r="G393" i="61"/>
  <c r="H393" i="61"/>
  <c r="G437" i="61"/>
  <c r="I437" i="61"/>
  <c r="H437" i="61"/>
  <c r="H349" i="61"/>
  <c r="I349" i="61"/>
  <c r="G349" i="61"/>
  <c r="I285" i="61"/>
  <c r="G285" i="61"/>
  <c r="H285" i="61"/>
  <c r="G481" i="61"/>
  <c r="I481" i="61"/>
  <c r="H481" i="61"/>
  <c r="G429" i="61"/>
  <c r="I429" i="61"/>
  <c r="H429" i="61"/>
  <c r="I421" i="61"/>
  <c r="G421" i="61"/>
  <c r="H421" i="61"/>
  <c r="H369" i="61"/>
  <c r="I369" i="61"/>
  <c r="G369" i="61"/>
  <c r="I489" i="61"/>
  <c r="H489" i="61"/>
  <c r="G489" i="61"/>
  <c r="I289" i="61"/>
  <c r="H289" i="61"/>
  <c r="G289" i="61"/>
  <c r="H461" i="61"/>
  <c r="G461" i="61"/>
  <c r="I461" i="61"/>
  <c r="H453" i="61"/>
  <c r="I453" i="61"/>
  <c r="G453" i="61"/>
  <c r="H457" i="61"/>
  <c r="I457" i="61"/>
  <c r="G457" i="61"/>
  <c r="G245" i="61"/>
  <c r="I245" i="61"/>
  <c r="H245" i="61"/>
  <c r="H329" i="61"/>
  <c r="G329" i="61"/>
  <c r="I329" i="61"/>
  <c r="G509" i="61"/>
  <c r="I509" i="61"/>
  <c r="H509" i="61"/>
  <c r="H273" i="61"/>
  <c r="I273" i="61"/>
  <c r="G273" i="61"/>
  <c r="I281" i="61"/>
  <c r="H281" i="61"/>
  <c r="G281" i="61"/>
  <c r="H501" i="61"/>
  <c r="G501" i="61"/>
  <c r="I501" i="61"/>
  <c r="H469" i="61"/>
  <c r="I469" i="61"/>
  <c r="G469" i="61"/>
  <c r="G433" i="61"/>
  <c r="I433" i="61"/>
  <c r="H433" i="61"/>
  <c r="N6" i="47"/>
  <c r="O7" i="47" s="1"/>
  <c r="S8" i="47" l="1"/>
  <c r="B242" i="112"/>
  <c r="E242" i="112" s="1"/>
  <c r="B85" i="112"/>
  <c r="E85" i="112" s="1"/>
  <c r="B258" i="112"/>
  <c r="E258" i="112" s="1"/>
  <c r="B97" i="112"/>
  <c r="E97" i="112" s="1"/>
  <c r="B5" i="112"/>
  <c r="E5" i="112" s="1"/>
  <c r="B99" i="112"/>
  <c r="E99" i="112" s="1"/>
  <c r="B41" i="112"/>
  <c r="E41" i="112" s="1"/>
  <c r="B18" i="112"/>
  <c r="E18" i="112" s="1"/>
  <c r="B185" i="112"/>
  <c r="E185" i="112" s="1"/>
  <c r="B33" i="112"/>
  <c r="E33" i="112" s="1"/>
  <c r="B209" i="112"/>
  <c r="E209" i="112" s="1"/>
  <c r="B128" i="112"/>
  <c r="E128" i="112" s="1"/>
  <c r="B98" i="112"/>
  <c r="E98" i="112" s="1"/>
  <c r="B201" i="112"/>
  <c r="E201" i="112" s="1"/>
  <c r="B159" i="112"/>
  <c r="E159" i="112" s="1"/>
  <c r="B241" i="112"/>
  <c r="E241" i="112" s="1"/>
  <c r="B225" i="112"/>
  <c r="E225" i="112" s="1"/>
  <c r="B197" i="112"/>
  <c r="E197" i="112" s="1"/>
  <c r="B154" i="112"/>
  <c r="E154" i="112" s="1"/>
  <c r="B110" i="112"/>
  <c r="E110" i="112" s="1"/>
  <c r="B92" i="112"/>
  <c r="E92" i="112" s="1"/>
  <c r="B14" i="112"/>
  <c r="E14" i="112" s="1"/>
  <c r="B51" i="112"/>
  <c r="E51" i="112" s="1"/>
  <c r="B116" i="112"/>
  <c r="E116" i="112" s="1"/>
  <c r="B213" i="112"/>
  <c r="E213" i="112" s="1"/>
  <c r="B177" i="112"/>
  <c r="E177" i="112" s="1"/>
  <c r="B231" i="112"/>
  <c r="E231" i="112" s="1"/>
  <c r="B239" i="112"/>
  <c r="E239" i="112" s="1"/>
  <c r="B71" i="112"/>
  <c r="E71" i="112" s="1"/>
  <c r="B106" i="112"/>
  <c r="E106" i="112" s="1"/>
  <c r="B81" i="112"/>
  <c r="E81" i="112" s="1"/>
  <c r="B139" i="112"/>
  <c r="E139" i="112" s="1"/>
  <c r="B229" i="112"/>
  <c r="E229" i="112" s="1"/>
  <c r="B222" i="112"/>
  <c r="E222" i="112" s="1"/>
  <c r="B125" i="112"/>
  <c r="E125" i="112" s="1"/>
  <c r="B39" i="112"/>
  <c r="E39" i="112" s="1"/>
  <c r="B50" i="112"/>
  <c r="E50" i="112" s="1"/>
  <c r="B245" i="112"/>
  <c r="E245" i="112" s="1"/>
  <c r="B235" i="112"/>
  <c r="E235" i="112" s="1"/>
  <c r="B160" i="112"/>
  <c r="E160" i="112" s="1"/>
  <c r="B108" i="112"/>
  <c r="E108" i="112" s="1"/>
  <c r="B55" i="112"/>
  <c r="E55" i="112" s="1"/>
  <c r="B184" i="112"/>
  <c r="E184" i="112" s="1"/>
  <c r="B153" i="112"/>
  <c r="E153" i="112" s="1"/>
  <c r="B130" i="112"/>
  <c r="E130" i="112" s="1"/>
  <c r="B30" i="112"/>
  <c r="E30" i="112" s="1"/>
  <c r="B205" i="112"/>
  <c r="E205" i="112" s="1"/>
  <c r="B20" i="112"/>
  <c r="E20" i="112" s="1"/>
  <c r="B256" i="112"/>
  <c r="E256" i="112" s="1"/>
  <c r="B117" i="112"/>
  <c r="E117" i="112" s="1"/>
  <c r="B21" i="112"/>
  <c r="E21" i="112" s="1"/>
  <c r="B124" i="112"/>
  <c r="E124" i="112" s="1"/>
  <c r="B13" i="112"/>
  <c r="E13" i="112" s="1"/>
  <c r="B101" i="112"/>
  <c r="E101" i="112" s="1"/>
  <c r="B218" i="112"/>
  <c r="E218" i="112" s="1"/>
  <c r="B34" i="112"/>
  <c r="E34" i="112" s="1"/>
  <c r="B114" i="112"/>
  <c r="E114" i="112" s="1"/>
  <c r="B230" i="112"/>
  <c r="E230" i="112" s="1"/>
  <c r="B145" i="112"/>
  <c r="E145" i="112" s="1"/>
  <c r="B188" i="112"/>
  <c r="E188" i="112" s="1"/>
  <c r="B74" i="112"/>
  <c r="E74" i="112" s="1"/>
  <c r="B234" i="112"/>
  <c r="E234" i="112" s="1"/>
  <c r="B78" i="112"/>
  <c r="E78" i="112" s="1"/>
  <c r="B144" i="112"/>
  <c r="E144" i="112" s="1"/>
  <c r="B134" i="112"/>
  <c r="E134" i="112" s="1"/>
  <c r="B244" i="112"/>
  <c r="E244" i="112" s="1"/>
  <c r="B214" i="112"/>
  <c r="E214" i="112" s="1"/>
  <c r="B168" i="112"/>
  <c r="E168" i="112" s="1"/>
  <c r="B105" i="112"/>
  <c r="E105" i="112" s="1"/>
  <c r="B122" i="112"/>
  <c r="E122" i="112" s="1"/>
  <c r="B84" i="112"/>
  <c r="E84" i="112" s="1"/>
  <c r="B45" i="112"/>
  <c r="E45" i="112" s="1"/>
  <c r="B46" i="112"/>
  <c r="E46" i="112" s="1"/>
  <c r="B31" i="112"/>
  <c r="E31" i="112" s="1"/>
  <c r="B68" i="112"/>
  <c r="E68" i="112" s="1"/>
  <c r="B164" i="112"/>
  <c r="E164" i="112" s="1"/>
  <c r="B196" i="112"/>
  <c r="E196" i="112" s="1"/>
  <c r="B11" i="112"/>
  <c r="E11" i="112" s="1"/>
  <c r="B243" i="112"/>
  <c r="E243" i="112" s="1"/>
  <c r="B91" i="112"/>
  <c r="E91" i="112" s="1"/>
  <c r="B16" i="112"/>
  <c r="E16" i="112" s="1"/>
  <c r="B189" i="112"/>
  <c r="E189" i="112" s="1"/>
  <c r="B237" i="112"/>
  <c r="E237" i="112" s="1"/>
  <c r="B171" i="112"/>
  <c r="E171" i="112" s="1"/>
  <c r="B240" i="112"/>
  <c r="E240" i="112" s="1"/>
  <c r="B254" i="112"/>
  <c r="E254" i="112" s="1"/>
  <c r="B23" i="112"/>
  <c r="E23" i="112" s="1"/>
  <c r="B175" i="112"/>
  <c r="E175" i="112" s="1"/>
  <c r="B52" i="112"/>
  <c r="E52" i="112" s="1"/>
  <c r="B136" i="112"/>
  <c r="E136" i="112" s="1"/>
  <c r="B90" i="112"/>
  <c r="E90" i="112" s="1"/>
  <c r="B59" i="112"/>
  <c r="E59" i="112" s="1"/>
  <c r="B211" i="112"/>
  <c r="E211" i="112" s="1"/>
  <c r="B57" i="112"/>
  <c r="E57" i="112" s="1"/>
  <c r="B43" i="112"/>
  <c r="E43" i="112" s="1"/>
  <c r="B129" i="112"/>
  <c r="E129" i="112" s="1"/>
  <c r="B89" i="112"/>
  <c r="E89" i="112" s="1"/>
  <c r="B253" i="112"/>
  <c r="E253" i="112" s="1"/>
  <c r="B226" i="112"/>
  <c r="E226" i="112" s="1"/>
  <c r="B47" i="112"/>
  <c r="E47" i="112" s="1"/>
  <c r="B193" i="112"/>
  <c r="E193" i="112" s="1"/>
  <c r="B64" i="112"/>
  <c r="E64" i="112" s="1"/>
  <c r="B63" i="112"/>
  <c r="E63" i="112" s="1"/>
  <c r="B77" i="112"/>
  <c r="E77" i="112" s="1"/>
  <c r="B127" i="112"/>
  <c r="E127" i="112" s="1"/>
  <c r="B176" i="112"/>
  <c r="E176" i="112" s="1"/>
  <c r="B191" i="112"/>
  <c r="E191" i="112" s="1"/>
  <c r="B180" i="112"/>
  <c r="E180" i="112" s="1"/>
  <c r="B251" i="112"/>
  <c r="E251" i="112" s="1"/>
  <c r="B72" i="112"/>
  <c r="E72" i="112" s="1"/>
  <c r="B40" i="112"/>
  <c r="E40" i="112" s="1"/>
  <c r="B200" i="112"/>
  <c r="E200" i="112" s="1"/>
  <c r="B104" i="112"/>
  <c r="E104" i="112" s="1"/>
  <c r="B7" i="112"/>
  <c r="E7" i="112" s="1"/>
  <c r="B15" i="112"/>
  <c r="E15" i="112" s="1"/>
  <c r="B80" i="112"/>
  <c r="E80" i="112" s="1"/>
  <c r="B162" i="112"/>
  <c r="E162" i="112" s="1"/>
  <c r="B37" i="112"/>
  <c r="E37" i="112" s="1"/>
  <c r="B111" i="112"/>
  <c r="E111" i="112" s="1"/>
  <c r="B60" i="112"/>
  <c r="E60" i="112" s="1"/>
  <c r="B28" i="112"/>
  <c r="E28" i="112" s="1"/>
  <c r="B208" i="112"/>
  <c r="E208" i="112" s="1"/>
  <c r="B202" i="112"/>
  <c r="E202" i="112" s="1"/>
  <c r="B49" i="112"/>
  <c r="E49" i="112" s="1"/>
  <c r="B54" i="112"/>
  <c r="E54" i="112" s="1"/>
  <c r="B147" i="112"/>
  <c r="E147" i="112" s="1"/>
  <c r="B150" i="112"/>
  <c r="E150" i="112" s="1"/>
  <c r="B236" i="112"/>
  <c r="E236" i="112" s="1"/>
  <c r="B149" i="112"/>
  <c r="E149" i="112" s="1"/>
  <c r="B126" i="112"/>
  <c r="E126" i="112" s="1"/>
  <c r="B86" i="112"/>
  <c r="E86" i="112" s="1"/>
  <c r="B70" i="112"/>
  <c r="E70" i="112" s="1"/>
  <c r="B194" i="112"/>
  <c r="E194" i="112" s="1"/>
  <c r="B38" i="112"/>
  <c r="E38" i="112" s="1"/>
  <c r="B246" i="112"/>
  <c r="E246" i="112" s="1"/>
  <c r="B75" i="112"/>
  <c r="E75" i="112" s="1"/>
  <c r="B206" i="112"/>
  <c r="E206" i="112" s="1"/>
  <c r="B65" i="112"/>
  <c r="E65" i="112" s="1"/>
  <c r="B146" i="112"/>
  <c r="E146" i="112" s="1"/>
  <c r="B249" i="112"/>
  <c r="E249" i="112" s="1"/>
  <c r="B26" i="112"/>
  <c r="E26" i="112" s="1"/>
  <c r="B24" i="112"/>
  <c r="E24" i="112" s="1"/>
  <c r="B53" i="112"/>
  <c r="E53" i="112" s="1"/>
  <c r="B83" i="112"/>
  <c r="E83" i="112" s="1"/>
  <c r="B8" i="112"/>
  <c r="E8" i="112" s="1"/>
  <c r="B119" i="112"/>
  <c r="E119" i="112" s="1"/>
  <c r="B221" i="112"/>
  <c r="E221" i="112" s="1"/>
  <c r="B107" i="112"/>
  <c r="E107" i="112" s="1"/>
  <c r="B61" i="112"/>
  <c r="E61" i="112" s="1"/>
  <c r="B100" i="112"/>
  <c r="E100" i="112" s="1"/>
  <c r="B132" i="112"/>
  <c r="E132" i="112" s="1"/>
  <c r="B186" i="112"/>
  <c r="E186" i="112" s="1"/>
  <c r="B157" i="112"/>
  <c r="E157" i="112" s="1"/>
  <c r="B199" i="112"/>
  <c r="E199" i="112" s="1"/>
  <c r="B203" i="112"/>
  <c r="E203" i="112" s="1"/>
  <c r="B238" i="112"/>
  <c r="E238" i="112" s="1"/>
  <c r="B257" i="112"/>
  <c r="E257" i="112" s="1"/>
  <c r="B212" i="112"/>
  <c r="E212" i="112" s="1"/>
  <c r="B161" i="112"/>
  <c r="E161" i="112" s="1"/>
  <c r="B169" i="112"/>
  <c r="E169" i="112" s="1"/>
  <c r="B131" i="112"/>
  <c r="E131" i="112" s="1"/>
  <c r="B195" i="112"/>
  <c r="E195" i="112" s="1"/>
  <c r="B58" i="112"/>
  <c r="E58" i="112" s="1"/>
  <c r="B12" i="112"/>
  <c r="E12" i="112" s="1"/>
  <c r="B233" i="112"/>
  <c r="E233" i="112" s="1"/>
  <c r="B223" i="112"/>
  <c r="E223" i="112" s="1"/>
  <c r="B198" i="112"/>
  <c r="E198" i="112" s="1"/>
  <c r="B29" i="112"/>
  <c r="E29" i="112" s="1"/>
  <c r="B87" i="112"/>
  <c r="E87" i="112" s="1"/>
  <c r="B62" i="112"/>
  <c r="E62" i="112" s="1"/>
  <c r="B217" i="112"/>
  <c r="E217" i="112" s="1"/>
  <c r="B207" i="112"/>
  <c r="E207" i="112" s="1"/>
  <c r="B95" i="112"/>
  <c r="E95" i="112" s="1"/>
  <c r="B137" i="112"/>
  <c r="E137" i="112" s="1"/>
  <c r="B141" i="112"/>
  <c r="E141" i="112" s="1"/>
  <c r="B143" i="112"/>
  <c r="E143" i="112" s="1"/>
  <c r="B94" i="112"/>
  <c r="E94" i="112" s="1"/>
  <c r="B248" i="112"/>
  <c r="E248" i="112" s="1"/>
  <c r="B138" i="112"/>
  <c r="E138" i="112" s="1"/>
  <c r="B142" i="112"/>
  <c r="E142" i="112" s="1"/>
  <c r="B4" i="112"/>
  <c r="E4" i="112" s="1"/>
  <c r="B178" i="112"/>
  <c r="E178" i="112" s="1"/>
  <c r="B79" i="112"/>
  <c r="E79" i="112" s="1"/>
  <c r="B10" i="112"/>
  <c r="E10" i="112" s="1"/>
  <c r="B219" i="112"/>
  <c r="E219" i="112" s="1"/>
  <c r="B112" i="112"/>
  <c r="E112" i="112" s="1"/>
  <c r="B135" i="112"/>
  <c r="E135" i="112" s="1"/>
  <c r="B190" i="112"/>
  <c r="E190" i="112" s="1"/>
  <c r="B76" i="112"/>
  <c r="E76" i="112" s="1"/>
  <c r="B67" i="112"/>
  <c r="E67" i="112" s="1"/>
  <c r="B103" i="112"/>
  <c r="E103" i="112" s="1"/>
  <c r="B123" i="112"/>
  <c r="E123" i="112" s="1"/>
  <c r="B9" i="112"/>
  <c r="E9" i="112" s="1"/>
  <c r="B25" i="112"/>
  <c r="E25" i="112" s="1"/>
  <c r="B167" i="112"/>
  <c r="E167" i="112" s="1"/>
  <c r="B228" i="112"/>
  <c r="E228" i="112" s="1"/>
  <c r="B118" i="112"/>
  <c r="E118" i="112" s="1"/>
  <c r="B252" i="112"/>
  <c r="E252" i="112" s="1"/>
  <c r="B48" i="112"/>
  <c r="E48" i="112" s="1"/>
  <c r="B102" i="112"/>
  <c r="E102" i="112" s="1"/>
  <c r="B174" i="112"/>
  <c r="E174" i="112" s="1"/>
  <c r="B113" i="112"/>
  <c r="E113" i="112" s="1"/>
  <c r="B155" i="112"/>
  <c r="E155" i="112" s="1"/>
  <c r="B158" i="112"/>
  <c r="E158" i="112" s="1"/>
  <c r="B140" i="112"/>
  <c r="E140" i="112" s="1"/>
  <c r="B93" i="112"/>
  <c r="E93" i="112" s="1"/>
  <c r="B6" i="112"/>
  <c r="E6" i="112" s="1"/>
  <c r="B179" i="112"/>
  <c r="E179" i="112" s="1"/>
  <c r="B192" i="112"/>
  <c r="E192" i="112" s="1"/>
  <c r="B247" i="112"/>
  <c r="E247" i="112" s="1"/>
  <c r="B172" i="112"/>
  <c r="E172" i="112" s="1"/>
  <c r="B204" i="112"/>
  <c r="E204" i="112" s="1"/>
  <c r="B224" i="112"/>
  <c r="E224" i="112" s="1"/>
  <c r="B32" i="112"/>
  <c r="E32" i="112" s="1"/>
  <c r="B42" i="112"/>
  <c r="E42" i="112" s="1"/>
  <c r="B35" i="112"/>
  <c r="E35" i="112" s="1"/>
  <c r="B165" i="112"/>
  <c r="E165" i="112" s="1"/>
  <c r="B27" i="112"/>
  <c r="E27" i="112" s="1"/>
  <c r="B44" i="112"/>
  <c r="E44" i="112" s="1"/>
  <c r="B121" i="112"/>
  <c r="E121" i="112" s="1"/>
  <c r="B148" i="112"/>
  <c r="E148" i="112" s="1"/>
  <c r="B66" i="112"/>
  <c r="E66" i="112" s="1"/>
  <c r="B115" i="112"/>
  <c r="E115" i="112" s="1"/>
  <c r="B182" i="112"/>
  <c r="E182" i="112" s="1"/>
  <c r="B82" i="112"/>
  <c r="E82" i="112" s="1"/>
  <c r="B88" i="112"/>
  <c r="E88" i="112" s="1"/>
  <c r="B96" i="112"/>
  <c r="E96" i="112" s="1"/>
  <c r="B255" i="112"/>
  <c r="E255" i="112" s="1"/>
  <c r="B187" i="112"/>
  <c r="E187" i="112" s="1"/>
  <c r="B227" i="112"/>
  <c r="E227" i="112" s="1"/>
  <c r="B216" i="112"/>
  <c r="E216" i="112" s="1"/>
  <c r="B109" i="112"/>
  <c r="E109" i="112" s="1"/>
  <c r="B232" i="112"/>
  <c r="E232" i="112" s="1"/>
  <c r="B133" i="112"/>
  <c r="E133" i="112" s="1"/>
  <c r="B120" i="112"/>
  <c r="E120" i="112" s="1"/>
  <c r="B170" i="112"/>
  <c r="E170" i="112" s="1"/>
  <c r="B151" i="112"/>
  <c r="E151" i="112" s="1"/>
  <c r="B166" i="112"/>
  <c r="E166" i="112" s="1"/>
  <c r="B173" i="112"/>
  <c r="E173" i="112" s="1"/>
  <c r="B183" i="112"/>
  <c r="E183" i="112" s="1"/>
  <c r="B36" i="112"/>
  <c r="E36" i="112" s="1"/>
  <c r="B19" i="112"/>
  <c r="E19" i="112" s="1"/>
  <c r="B215" i="112"/>
  <c r="E215" i="112" s="1"/>
  <c r="B73" i="112"/>
  <c r="E73" i="112" s="1"/>
  <c r="B56" i="112"/>
  <c r="E56" i="112" s="1"/>
  <c r="B163" i="112"/>
  <c r="E163" i="112" s="1"/>
  <c r="B152" i="112"/>
  <c r="E152" i="112" s="1"/>
  <c r="B220" i="112"/>
  <c r="E220" i="112" s="1"/>
  <c r="B250" i="112"/>
  <c r="E250" i="112" s="1"/>
  <c r="B156" i="112"/>
  <c r="E156" i="112" s="1"/>
  <c r="B22" i="112"/>
  <c r="E22" i="112" s="1"/>
  <c r="B210" i="112"/>
  <c r="E210" i="112" s="1"/>
  <c r="B17" i="112"/>
  <c r="E17" i="112" s="1"/>
  <c r="B69" i="112"/>
  <c r="E69" i="112" s="1"/>
  <c r="B259" i="112"/>
  <c r="E259" i="112" s="1"/>
  <c r="B181" i="112"/>
  <c r="E181" i="112" s="1"/>
  <c r="F54" i="47"/>
  <c r="F14" i="47"/>
  <c r="F123" i="47"/>
  <c r="F20" i="47"/>
  <c r="F22" i="47"/>
  <c r="F124" i="47"/>
  <c r="F32" i="47"/>
  <c r="F90" i="47"/>
  <c r="F45" i="47"/>
  <c r="F102" i="47"/>
  <c r="F16" i="47"/>
  <c r="M2" i="75"/>
  <c r="F103" i="47"/>
  <c r="F101" i="47"/>
  <c r="F58" i="47"/>
  <c r="F48" i="47"/>
  <c r="F108" i="47"/>
  <c r="F121" i="47"/>
  <c r="F51" i="47"/>
  <c r="F115" i="47"/>
  <c r="F47" i="47"/>
  <c r="F109" i="47"/>
  <c r="F82" i="47"/>
  <c r="F19" i="47"/>
  <c r="F60" i="47"/>
  <c r="F134" i="47"/>
  <c r="F126" i="47"/>
  <c r="F39" i="47"/>
  <c r="F77" i="47"/>
  <c r="E2" i="115"/>
  <c r="F104" i="47"/>
  <c r="F57" i="47"/>
  <c r="F122" i="47"/>
  <c r="F145" i="47"/>
  <c r="F119" i="47"/>
  <c r="F92" i="47"/>
  <c r="F88" i="47"/>
  <c r="F98" i="47"/>
  <c r="F53" i="47"/>
  <c r="F129" i="47"/>
  <c r="F50" i="47"/>
  <c r="F31" i="47"/>
  <c r="F111" i="47"/>
  <c r="F139" i="47"/>
  <c r="F34" i="47"/>
  <c r="F144" i="47"/>
  <c r="F26" i="47"/>
  <c r="F28" i="47"/>
  <c r="F18" i="47"/>
  <c r="F148" i="47"/>
  <c r="F66" i="47"/>
  <c r="F146" i="47"/>
  <c r="F68" i="47"/>
  <c r="F130" i="47"/>
  <c r="F142" i="47"/>
  <c r="F67" i="47"/>
  <c r="F17" i="47"/>
  <c r="F95" i="47"/>
  <c r="F37" i="47"/>
  <c r="F116" i="47"/>
  <c r="F107" i="47"/>
  <c r="F110" i="47"/>
  <c r="F41" i="47"/>
  <c r="F36" i="47"/>
  <c r="F33" i="47"/>
  <c r="F83" i="47"/>
  <c r="F42" i="47"/>
  <c r="F106" i="47"/>
  <c r="F131" i="47"/>
  <c r="F40" i="47"/>
  <c r="F117" i="47"/>
  <c r="F72" i="47"/>
  <c r="F80" i="47"/>
  <c r="F21" i="47"/>
  <c r="F71" i="47"/>
  <c r="F147" i="47"/>
  <c r="F138" i="47"/>
  <c r="F125" i="47"/>
  <c r="F29" i="47"/>
  <c r="F93" i="47"/>
  <c r="F97" i="47"/>
  <c r="F135" i="47"/>
  <c r="F30" i="47"/>
  <c r="F24" i="47"/>
  <c r="F74" i="47"/>
  <c r="F38" i="47"/>
  <c r="F84" i="47"/>
  <c r="F69" i="47"/>
  <c r="F137" i="47"/>
  <c r="F91" i="47"/>
  <c r="F140" i="47"/>
  <c r="F59" i="47"/>
  <c r="F13" i="47"/>
  <c r="F76" i="47"/>
  <c r="F78" i="47"/>
  <c r="F35" i="47"/>
  <c r="F73" i="47"/>
  <c r="F94" i="47"/>
  <c r="F87" i="47"/>
  <c r="S7" i="47"/>
  <c r="S6" i="47" s="1"/>
  <c r="F112" i="47"/>
  <c r="F55" i="47"/>
  <c r="F43" i="47"/>
  <c r="F65" i="47"/>
  <c r="F141" i="47"/>
  <c r="F62" i="47"/>
  <c r="F114" i="47"/>
  <c r="F12" i="47"/>
  <c r="F49" i="47"/>
  <c r="F56" i="47"/>
  <c r="F85" i="47"/>
  <c r="F89" i="47"/>
  <c r="F15" i="47"/>
  <c r="F132" i="47"/>
  <c r="F113" i="47"/>
  <c r="F118" i="47"/>
  <c r="F99" i="47"/>
  <c r="F44" i="47"/>
  <c r="F52" i="47"/>
  <c r="F100" i="47"/>
  <c r="F96" i="47"/>
  <c r="F143" i="47"/>
  <c r="F105" i="47"/>
  <c r="F63" i="47"/>
  <c r="F11" i="47"/>
  <c r="F79" i="47"/>
  <c r="F81" i="47"/>
  <c r="F25" i="47"/>
  <c r="F61" i="47"/>
  <c r="F120" i="47"/>
  <c r="F75" i="47"/>
  <c r="F128" i="47"/>
  <c r="F127" i="47"/>
  <c r="F46" i="47"/>
  <c r="F136" i="47"/>
  <c r="F133" i="47"/>
  <c r="F64" i="47"/>
  <c r="F86" i="47"/>
  <c r="F70" i="47"/>
  <c r="F27" i="47"/>
  <c r="F23" i="47"/>
  <c r="B13" i="75" l="1"/>
  <c r="A24" i="48" s="1"/>
  <c r="C24" i="48" s="1"/>
  <c r="B53" i="75"/>
  <c r="A56" i="48" s="1"/>
  <c r="C56" i="48" s="1"/>
  <c r="D49" i="75"/>
  <c r="D26" i="75"/>
  <c r="D36" i="75"/>
  <c r="B44" i="75"/>
  <c r="A41" i="48" s="1"/>
  <c r="C41" i="48" s="1"/>
  <c r="B24" i="75"/>
  <c r="A25" i="48" s="1"/>
  <c r="C25" i="48" s="1"/>
  <c r="D41" i="75"/>
  <c r="D15" i="75"/>
  <c r="D50" i="75"/>
  <c r="B16" i="75"/>
  <c r="A12" i="48" s="1"/>
  <c r="C12" i="48" s="1"/>
  <c r="D22" i="75"/>
  <c r="D52" i="75"/>
  <c r="B12" i="75"/>
  <c r="A28" i="48" s="1"/>
  <c r="C28" i="48" s="1"/>
  <c r="D21" i="75"/>
  <c r="B51" i="75"/>
  <c r="A52" i="48" s="1"/>
  <c r="C52" i="48" s="1"/>
  <c r="D5" i="75"/>
  <c r="B37" i="75"/>
  <c r="A47" i="48" s="1"/>
  <c r="C47" i="48" s="1"/>
  <c r="B28" i="75"/>
  <c r="A30" i="48" s="1"/>
  <c r="C30" i="48" s="1"/>
  <c r="D58" i="75"/>
  <c r="B35" i="75"/>
  <c r="A43" i="48" s="1"/>
  <c r="C43" i="48" s="1"/>
  <c r="B17" i="75"/>
  <c r="A8" i="48" s="1"/>
  <c r="C8" i="48" s="1"/>
  <c r="B48" i="75"/>
  <c r="A37" i="48" s="1"/>
  <c r="C37" i="48" s="1"/>
  <c r="B19" i="75"/>
  <c r="A5" i="48" s="1"/>
  <c r="C5" i="48" s="1"/>
  <c r="D55" i="75"/>
  <c r="B31" i="75"/>
  <c r="A18" i="48" s="1"/>
  <c r="C18" i="48" s="1"/>
  <c r="B61" i="75"/>
  <c r="A72" i="48" s="1"/>
  <c r="C72" i="48" s="1"/>
  <c r="B30" i="75"/>
  <c r="A22" i="48" s="1"/>
  <c r="C22" i="48" s="1"/>
  <c r="D33" i="75"/>
  <c r="B57" i="75"/>
  <c r="A64" i="48" s="1"/>
  <c r="C64" i="48" s="1"/>
  <c r="D25" i="75"/>
  <c r="D54" i="75"/>
  <c r="D9" i="75"/>
  <c r="D53" i="75"/>
  <c r="D30" i="75"/>
  <c r="B49" i="75"/>
  <c r="A36" i="48" s="1"/>
  <c r="C36" i="48" s="1"/>
  <c r="D3" i="75"/>
  <c r="B33" i="75"/>
  <c r="A10" i="48" s="1"/>
  <c r="C10" i="48" s="1"/>
  <c r="D57" i="75"/>
  <c r="D10" i="75"/>
  <c r="D29" i="75"/>
  <c r="B54" i="75"/>
  <c r="A58" i="48" s="1"/>
  <c r="C58" i="48" s="1"/>
  <c r="D24" i="75"/>
  <c r="B9" i="75"/>
  <c r="A27" i="48" s="1"/>
  <c r="C27" i="48" s="1"/>
  <c r="D38" i="75"/>
  <c r="B15" i="75"/>
  <c r="A16" i="48" s="1"/>
  <c r="C16" i="48" s="1"/>
  <c r="B47" i="75"/>
  <c r="A38" i="48" s="1"/>
  <c r="C38" i="48" s="1"/>
  <c r="D12" i="75"/>
  <c r="B14" i="75"/>
  <c r="A20" i="48" s="1"/>
  <c r="C20" i="48" s="1"/>
  <c r="B18" i="75"/>
  <c r="A4" i="48" s="1"/>
  <c r="C4" i="48" s="1"/>
  <c r="B32" i="75"/>
  <c r="A14" i="48" s="1"/>
  <c r="C14" i="48" s="1"/>
  <c r="B6" i="75"/>
  <c r="A15" i="48" s="1"/>
  <c r="C15" i="48" s="1"/>
  <c r="B11" i="75"/>
  <c r="A32" i="48" s="1"/>
  <c r="C32" i="48" s="1"/>
  <c r="D39" i="75"/>
  <c r="B42" i="75"/>
  <c r="A44" i="48" s="1"/>
  <c r="C44" i="48" s="1"/>
  <c r="D43" i="75"/>
  <c r="D48" i="75"/>
  <c r="D60" i="75"/>
  <c r="B34" i="75"/>
  <c r="A6" i="48" s="1"/>
  <c r="C6" i="48" s="1"/>
  <c r="B46" i="75"/>
  <c r="A39" i="48" s="1"/>
  <c r="C39" i="48" s="1"/>
  <c r="D56" i="75"/>
  <c r="D13" i="75"/>
  <c r="B4" i="75"/>
  <c r="A7" i="48" s="1"/>
  <c r="C7" i="48" s="1"/>
  <c r="B26" i="75"/>
  <c r="A33" i="48" s="1"/>
  <c r="C33" i="48" s="1"/>
  <c r="B29" i="75"/>
  <c r="A26" i="48" s="1"/>
  <c r="C26" i="48" s="1"/>
  <c r="B38" i="75"/>
  <c r="A49" i="48" s="1"/>
  <c r="C49" i="48" s="1"/>
  <c r="D47" i="75"/>
  <c r="D14" i="75"/>
  <c r="D45" i="75"/>
  <c r="D32" i="75"/>
  <c r="D11" i="75"/>
  <c r="D17" i="75"/>
  <c r="D20" i="75"/>
  <c r="B7" i="75"/>
  <c r="A19" i="48" s="1"/>
  <c r="C19" i="48" s="1"/>
  <c r="D31" i="75"/>
  <c r="D4" i="75"/>
  <c r="B36" i="75"/>
  <c r="A45" i="48" s="1"/>
  <c r="C45" i="48" s="1"/>
  <c r="B56" i="75"/>
  <c r="A62" i="48" s="1"/>
  <c r="C62" i="48" s="1"/>
  <c r="B10" i="75"/>
  <c r="A31" i="48" s="1"/>
  <c r="C31" i="48" s="1"/>
  <c r="D6" i="75"/>
  <c r="D28" i="75"/>
  <c r="B40" i="75"/>
  <c r="A48" i="48" s="1"/>
  <c r="C48" i="48" s="1"/>
  <c r="D42" i="75"/>
  <c r="B27" i="75"/>
  <c r="A34" i="48" s="1"/>
  <c r="C34" i="48" s="1"/>
  <c r="B59" i="75"/>
  <c r="A68" i="48" s="1"/>
  <c r="C68" i="48" s="1"/>
  <c r="B23" i="75"/>
  <c r="A21" i="48" s="1"/>
  <c r="C21" i="48" s="1"/>
  <c r="D46" i="75"/>
  <c r="D61" i="75"/>
  <c r="B3" i="75"/>
  <c r="A3" i="48" s="1"/>
  <c r="B25" i="75"/>
  <c r="A29" i="48" s="1"/>
  <c r="C29" i="48" s="1"/>
  <c r="D44" i="75"/>
  <c r="B41" i="75"/>
  <c r="A46" i="48" s="1"/>
  <c r="C46" i="48" s="1"/>
  <c r="B50" i="75"/>
  <c r="A35" i="48" s="1"/>
  <c r="C35" i="48" s="1"/>
  <c r="B52" i="75"/>
  <c r="A54" i="48" s="1"/>
  <c r="C54" i="48" s="1"/>
  <c r="D51" i="75"/>
  <c r="D18" i="75"/>
  <c r="D37" i="75"/>
  <c r="D40" i="75"/>
  <c r="D27" i="75"/>
  <c r="D8" i="75"/>
  <c r="D59" i="75"/>
  <c r="B20" i="75"/>
  <c r="A9" i="48" s="1"/>
  <c r="C9" i="48" s="1"/>
  <c r="D7" i="75"/>
  <c r="D19" i="75"/>
  <c r="B55" i="75"/>
  <c r="A60" i="48" s="1"/>
  <c r="C60" i="48" s="1"/>
  <c r="B22" i="75"/>
  <c r="A17" i="48" s="1"/>
  <c r="C17" i="48" s="1"/>
  <c r="B45" i="75"/>
  <c r="A40" i="48" s="1"/>
  <c r="C40" i="48" s="1"/>
  <c r="B5" i="75"/>
  <c r="A11" i="48" s="1"/>
  <c r="C11" i="48" s="1"/>
  <c r="B58" i="75"/>
  <c r="A66" i="48" s="1"/>
  <c r="C66" i="48" s="1"/>
  <c r="B43" i="75"/>
  <c r="A42" i="48" s="1"/>
  <c r="C42" i="48" s="1"/>
  <c r="D23" i="75"/>
  <c r="D34" i="75"/>
  <c r="D16" i="75"/>
  <c r="B21" i="75"/>
  <c r="A13" i="48" s="1"/>
  <c r="C13" i="48" s="1"/>
  <c r="B39" i="75"/>
  <c r="A50" i="48" s="1"/>
  <c r="C50" i="48" s="1"/>
  <c r="D35" i="75"/>
  <c r="B8" i="75"/>
  <c r="A23" i="48" s="1"/>
  <c r="C23" i="48" s="1"/>
  <c r="B60" i="75"/>
  <c r="A70" i="48" s="1"/>
  <c r="C70" i="48" s="1"/>
  <c r="G2" i="115"/>
  <c r="F2" i="115"/>
  <c r="F27" i="115" s="1"/>
  <c r="A27" i="115" s="1"/>
  <c r="F7" i="115"/>
  <c r="A7" i="115" s="1"/>
  <c r="F12" i="115"/>
  <c r="A12" i="115" s="1"/>
  <c r="F5" i="115"/>
  <c r="A5" i="115" s="1"/>
  <c r="F56" i="115" l="1"/>
  <c r="A56" i="115" s="1"/>
  <c r="F34" i="115"/>
  <c r="A34" i="115" s="1"/>
  <c r="BH34" i="115" s="1"/>
  <c r="F42" i="115"/>
  <c r="A42" i="115" s="1"/>
  <c r="F37" i="115"/>
  <c r="A37" i="115" s="1"/>
  <c r="F57" i="115"/>
  <c r="A57" i="115" s="1"/>
  <c r="B4" i="96"/>
  <c r="B9" i="96" s="1"/>
  <c r="B129" i="15" s="1"/>
  <c r="B6" i="94"/>
  <c r="E8" i="94" s="1"/>
  <c r="B6" i="98"/>
  <c r="E8" i="98" s="1"/>
  <c r="B3" i="102"/>
  <c r="B4" i="99"/>
  <c r="B9" i="99" s="1"/>
  <c r="B111" i="15" s="1"/>
  <c r="B4" i="10"/>
  <c r="B9" i="10" s="1"/>
  <c r="B5" i="106"/>
  <c r="E9" i="106" s="1"/>
  <c r="B6" i="100"/>
  <c r="E8" i="100" s="1"/>
  <c r="B4" i="92"/>
  <c r="B9" i="92" s="1"/>
  <c r="B153" i="15" s="1"/>
  <c r="B3" i="98"/>
  <c r="B5" i="105"/>
  <c r="E9" i="105" s="1"/>
  <c r="B5" i="99"/>
  <c r="E9" i="99" s="1"/>
  <c r="B5" i="85"/>
  <c r="E9" i="85" s="1"/>
  <c r="B4" i="9"/>
  <c r="B9" i="9" s="1"/>
  <c r="B6" i="89"/>
  <c r="E8" i="89" s="1"/>
  <c r="B4" i="105"/>
  <c r="B9" i="105" s="1"/>
  <c r="B5" i="94"/>
  <c r="E9" i="94" s="1"/>
  <c r="B6" i="101"/>
  <c r="E8" i="101" s="1"/>
  <c r="B3" i="107"/>
  <c r="B6" i="4"/>
  <c r="E8" i="4" s="1"/>
  <c r="B3" i="5"/>
  <c r="B3" i="105"/>
  <c r="B6" i="85"/>
  <c r="E8" i="85" s="1"/>
  <c r="B3" i="108"/>
  <c r="B6" i="104"/>
  <c r="E8" i="104" s="1"/>
  <c r="B3" i="100"/>
  <c r="C9" i="84"/>
  <c r="B4" i="106"/>
  <c r="B9" i="106" s="1"/>
  <c r="B4" i="104"/>
  <c r="B9" i="104" s="1"/>
  <c r="B3" i="4"/>
  <c r="B3" i="95"/>
  <c r="B5" i="4"/>
  <c r="E9" i="4" s="1"/>
  <c r="B4" i="103"/>
  <c r="B9" i="103" s="1"/>
  <c r="B5" i="7"/>
  <c r="E9" i="7" s="1"/>
  <c r="B5" i="98"/>
  <c r="E9" i="98" s="1"/>
  <c r="B6" i="6"/>
  <c r="E8" i="6" s="1"/>
  <c r="B4" i="101"/>
  <c r="B9" i="101" s="1"/>
  <c r="B3" i="85"/>
  <c r="B3" i="99"/>
  <c r="B6" i="91"/>
  <c r="E8" i="91" s="1"/>
  <c r="B6" i="9"/>
  <c r="E8" i="9" s="1"/>
  <c r="B6" i="99"/>
  <c r="E8" i="99" s="1"/>
  <c r="B6" i="90"/>
  <c r="E8" i="90" s="1"/>
  <c r="B4" i="108"/>
  <c r="B9" i="108" s="1"/>
  <c r="B5" i="90"/>
  <c r="E9" i="90" s="1"/>
  <c r="B5" i="5"/>
  <c r="E9" i="5" s="1"/>
  <c r="B5" i="102"/>
  <c r="E9" i="102" s="1"/>
  <c r="B3" i="86"/>
  <c r="B6" i="93"/>
  <c r="E8" i="93" s="1"/>
  <c r="B6" i="105"/>
  <c r="E8" i="105" s="1"/>
  <c r="B5" i="104"/>
  <c r="E9" i="104" s="1"/>
  <c r="B4" i="87"/>
  <c r="B9" i="87" s="1"/>
  <c r="B183" i="15" s="1"/>
  <c r="B4" i="6"/>
  <c r="B9" i="6" s="1"/>
  <c r="B4" i="100"/>
  <c r="B9" i="100" s="1"/>
  <c r="B105" i="15" s="1"/>
  <c r="B3" i="103"/>
  <c r="B4" i="89"/>
  <c r="B9" i="89" s="1"/>
  <c r="B171" i="15" s="1"/>
  <c r="B5" i="91"/>
  <c r="E9" i="91" s="1"/>
  <c r="B3" i="9"/>
  <c r="B3" i="97"/>
  <c r="B4" i="107"/>
  <c r="B9" i="107" s="1"/>
  <c r="B5" i="96"/>
  <c r="E9" i="96" s="1"/>
  <c r="B3" i="92"/>
  <c r="B3" i="6"/>
  <c r="B3" i="87"/>
  <c r="B6" i="7"/>
  <c r="E8" i="7" s="1"/>
  <c r="C3" i="48"/>
  <c r="B6" i="8"/>
  <c r="E8" i="8" s="1"/>
  <c r="B5" i="88"/>
  <c r="E9" i="88" s="1"/>
  <c r="B4" i="86"/>
  <c r="B9" i="86" s="1"/>
  <c r="B189" i="15" s="1"/>
  <c r="B5" i="107"/>
  <c r="E9" i="107" s="1"/>
  <c r="B4" i="1"/>
  <c r="B9" i="1" s="1"/>
  <c r="B3" i="94"/>
  <c r="B5" i="86"/>
  <c r="E9" i="86" s="1"/>
  <c r="C8" i="84"/>
  <c r="C5" i="124"/>
  <c r="C4" i="124"/>
  <c r="B5" i="108"/>
  <c r="E9" i="108" s="1"/>
  <c r="B5" i="92"/>
  <c r="E9" i="92" s="1"/>
  <c r="C4" i="84"/>
  <c r="B6" i="1"/>
  <c r="E8" i="1" s="1"/>
  <c r="B3" i="88"/>
  <c r="B4" i="85"/>
  <c r="B9" i="85" s="1"/>
  <c r="B195" i="15" s="1"/>
  <c r="B6" i="107"/>
  <c r="E8" i="107" s="1"/>
  <c r="B4" i="4"/>
  <c r="B9" i="4" s="1"/>
  <c r="B3" i="96"/>
  <c r="B6" i="96"/>
  <c r="E8" i="96" s="1"/>
  <c r="B4" i="102"/>
  <c r="B9" i="102" s="1"/>
  <c r="B4" i="88"/>
  <c r="B9" i="88" s="1"/>
  <c r="B177" i="15" s="1"/>
  <c r="B5" i="9"/>
  <c r="E9" i="9" s="1"/>
  <c r="B4" i="91"/>
  <c r="B9" i="91" s="1"/>
  <c r="B159" i="15" s="1"/>
  <c r="C5" i="84"/>
  <c r="C8" i="124"/>
  <c r="B4" i="94"/>
  <c r="B9" i="94" s="1"/>
  <c r="B141" i="15" s="1"/>
  <c r="B6" i="87"/>
  <c r="E8" i="87" s="1"/>
  <c r="B4" i="90"/>
  <c r="B9" i="90" s="1"/>
  <c r="B165" i="15" s="1"/>
  <c r="B6" i="10"/>
  <c r="E8" i="10" s="1"/>
  <c r="B6" i="5"/>
  <c r="E8" i="5" s="1"/>
  <c r="B5" i="87"/>
  <c r="E9" i="87" s="1"/>
  <c r="B6" i="88"/>
  <c r="E8" i="88" s="1"/>
  <c r="B3" i="93"/>
  <c r="B3" i="104"/>
  <c r="B3" i="1"/>
  <c r="B6" i="86"/>
  <c r="E8" i="86" s="1"/>
  <c r="B5" i="95"/>
  <c r="E9" i="95" s="1"/>
  <c r="B5" i="6"/>
  <c r="E9" i="6" s="1"/>
  <c r="B4" i="8"/>
  <c r="B9" i="8" s="1"/>
  <c r="B3" i="10"/>
  <c r="B5" i="10"/>
  <c r="E9" i="10" s="1"/>
  <c r="B6" i="103"/>
  <c r="E8" i="103" s="1"/>
  <c r="B6" i="108"/>
  <c r="E8" i="108" s="1"/>
  <c r="B6" i="102"/>
  <c r="E8" i="102" s="1"/>
  <c r="B6" i="97"/>
  <c r="E8" i="97" s="1"/>
  <c r="B4" i="98"/>
  <c r="B9" i="98" s="1"/>
  <c r="B117" i="15" s="1"/>
  <c r="B3" i="90"/>
  <c r="B3" i="101"/>
  <c r="B4" i="7"/>
  <c r="B9" i="7" s="1"/>
  <c r="B5" i="103"/>
  <c r="E9" i="103" s="1"/>
  <c r="B5" i="89"/>
  <c r="E9" i="89" s="1"/>
  <c r="B3" i="91"/>
  <c r="B4" i="95"/>
  <c r="B9" i="95" s="1"/>
  <c r="B135" i="15" s="1"/>
  <c r="B5" i="97"/>
  <c r="E9" i="97" s="1"/>
  <c r="B4" i="97"/>
  <c r="B9" i="97" s="1"/>
  <c r="B123" i="15" s="1"/>
  <c r="B5" i="93"/>
  <c r="E9" i="93" s="1"/>
  <c r="B5" i="1"/>
  <c r="E9" i="1" s="1"/>
  <c r="B6" i="106"/>
  <c r="E8" i="106" s="1"/>
  <c r="B5" i="101"/>
  <c r="E9" i="101" s="1"/>
  <c r="B6" i="95"/>
  <c r="E8" i="95" s="1"/>
  <c r="B3" i="106"/>
  <c r="B4" i="93"/>
  <c r="B9" i="93" s="1"/>
  <c r="B147" i="15" s="1"/>
  <c r="B3" i="7"/>
  <c r="B5" i="100"/>
  <c r="E9" i="100" s="1"/>
  <c r="B6" i="92"/>
  <c r="E8" i="92" s="1"/>
  <c r="B5" i="8"/>
  <c r="E9" i="8" s="1"/>
  <c r="B3" i="89"/>
  <c r="B3" i="8"/>
  <c r="C9" i="124"/>
  <c r="B4" i="5"/>
  <c r="B9" i="5" s="1"/>
  <c r="F10" i="115"/>
  <c r="A10" i="115" s="1"/>
  <c r="F15" i="115"/>
  <c r="A15" i="115" s="1"/>
  <c r="BJ15" i="115" s="1"/>
  <c r="F44" i="115"/>
  <c r="A44" i="115" s="1"/>
  <c r="F59" i="115"/>
  <c r="A59" i="115" s="1"/>
  <c r="F25" i="115"/>
  <c r="A25" i="115" s="1"/>
  <c r="BH25" i="115" s="1"/>
  <c r="F60" i="115"/>
  <c r="A60" i="115" s="1"/>
  <c r="F4" i="115"/>
  <c r="A4" i="115" s="1"/>
  <c r="BN4" i="115" s="1"/>
  <c r="F63" i="115"/>
  <c r="A63" i="115" s="1"/>
  <c r="F23" i="115"/>
  <c r="A23" i="115" s="1"/>
  <c r="BH23" i="115" s="1"/>
  <c r="F9" i="115"/>
  <c r="A9" i="115" s="1"/>
  <c r="BH9" i="115" s="1"/>
  <c r="F58" i="115"/>
  <c r="A58" i="115" s="1"/>
  <c r="F28" i="115"/>
  <c r="A28" i="115" s="1"/>
  <c r="BH28" i="115" s="1"/>
  <c r="F43" i="115"/>
  <c r="A43" i="115" s="1"/>
  <c r="F6" i="115"/>
  <c r="A6" i="115" s="1"/>
  <c r="BN6" i="115" s="1"/>
  <c r="F33" i="115"/>
  <c r="A33" i="115" s="1"/>
  <c r="BH33" i="115" s="1"/>
  <c r="F54" i="115"/>
  <c r="A54" i="115" s="1"/>
  <c r="F8" i="115"/>
  <c r="A8" i="115" s="1"/>
  <c r="F31" i="115"/>
  <c r="A31" i="115" s="1"/>
  <c r="BH31" i="115" s="1"/>
  <c r="F45" i="115"/>
  <c r="A45" i="115" s="1"/>
  <c r="F39" i="115"/>
  <c r="A39" i="115" s="1"/>
  <c r="F49" i="115"/>
  <c r="A49" i="115" s="1"/>
  <c r="F36" i="115"/>
  <c r="A36" i="115" s="1"/>
  <c r="F32" i="115"/>
  <c r="A32" i="115" s="1"/>
  <c r="BH32" i="115" s="1"/>
  <c r="F48" i="115"/>
  <c r="A48" i="115" s="1"/>
  <c r="F24" i="115"/>
  <c r="A24" i="115" s="1"/>
  <c r="BH24" i="115" s="1"/>
  <c r="F22" i="115"/>
  <c r="A22" i="115" s="1"/>
  <c r="BH22" i="115" s="1"/>
  <c r="F46" i="115"/>
  <c r="A46" i="115" s="1"/>
  <c r="F41" i="115"/>
  <c r="A41" i="115" s="1"/>
  <c r="F30" i="115"/>
  <c r="A30" i="115" s="1"/>
  <c r="BH30" i="115" s="1"/>
  <c r="F64" i="115"/>
  <c r="A64" i="115" s="1"/>
  <c r="F40" i="115"/>
  <c r="A40" i="115" s="1"/>
  <c r="F55" i="115"/>
  <c r="A55" i="115" s="1"/>
  <c r="F18" i="115"/>
  <c r="A18" i="115" s="1"/>
  <c r="F13" i="115"/>
  <c r="A13" i="115" s="1"/>
  <c r="BH13" i="115" s="1"/>
  <c r="F20" i="115"/>
  <c r="A20" i="115" s="1"/>
  <c r="BH20" i="115" s="1"/>
  <c r="F14" i="115"/>
  <c r="A14" i="115" s="1"/>
  <c r="BH14" i="115" s="1"/>
  <c r="F65" i="115"/>
  <c r="A65" i="115" s="1"/>
  <c r="F3" i="115"/>
  <c r="A3" i="115" s="1"/>
  <c r="BN3" i="115" s="1"/>
  <c r="F11" i="115"/>
  <c r="A11" i="115" s="1"/>
  <c r="BJ11" i="115" s="1"/>
  <c r="F29" i="115"/>
  <c r="A29" i="115" s="1"/>
  <c r="BH29" i="115" s="1"/>
  <c r="F21" i="115"/>
  <c r="A21" i="115" s="1"/>
  <c r="BH21" i="115" s="1"/>
  <c r="F53" i="115"/>
  <c r="A53" i="115" s="1"/>
  <c r="F35" i="115"/>
  <c r="A35" i="115" s="1"/>
  <c r="F51" i="115"/>
  <c r="A51" i="115" s="1"/>
  <c r="F38" i="115"/>
  <c r="A38" i="115" s="1"/>
  <c r="F17" i="115"/>
  <c r="A17" i="115" s="1"/>
  <c r="BJ17" i="115" s="1"/>
  <c r="F16" i="115"/>
  <c r="A16" i="115" s="1"/>
  <c r="BH16" i="115" s="1"/>
  <c r="F50" i="115"/>
  <c r="A50" i="115" s="1"/>
  <c r="F19" i="115"/>
  <c r="A19" i="115" s="1"/>
  <c r="BH19" i="115" s="1"/>
  <c r="F62" i="115"/>
  <c r="A62" i="115" s="1"/>
  <c r="BH27" i="115"/>
  <c r="BJ5" i="115"/>
  <c r="BH5" i="115"/>
  <c r="BL5" i="115"/>
  <c r="BN5" i="115"/>
  <c r="BP5" i="115"/>
  <c r="BR5" i="115"/>
  <c r="BH7" i="115"/>
  <c r="BJ7" i="115"/>
  <c r="BL7" i="115"/>
  <c r="F47" i="115"/>
  <c r="A47" i="115" s="1"/>
  <c r="C6" i="115"/>
  <c r="B60" i="115"/>
  <c r="C41" i="115"/>
  <c r="C26" i="115"/>
  <c r="C36" i="115"/>
  <c r="C15" i="115"/>
  <c r="C57" i="115"/>
  <c r="C47" i="115"/>
  <c r="C34" i="115"/>
  <c r="B63" i="115"/>
  <c r="C53" i="115"/>
  <c r="C22" i="115"/>
  <c r="C5" i="115"/>
  <c r="B64" i="115"/>
  <c r="C55" i="115"/>
  <c r="B58" i="115"/>
  <c r="B36" i="115"/>
  <c r="C38" i="115"/>
  <c r="C24" i="115"/>
  <c r="B56" i="115"/>
  <c r="B38" i="115"/>
  <c r="B57" i="115"/>
  <c r="C4" i="115"/>
  <c r="C21" i="115"/>
  <c r="C33" i="115"/>
  <c r="C48" i="115"/>
  <c r="B44" i="115"/>
  <c r="C42" i="115"/>
  <c r="C45" i="115"/>
  <c r="C40" i="115"/>
  <c r="C61" i="115"/>
  <c r="C28" i="115"/>
  <c r="C30" i="115"/>
  <c r="C60" i="115"/>
  <c r="C59" i="115"/>
  <c r="C39" i="115"/>
  <c r="C58" i="115"/>
  <c r="C64" i="115"/>
  <c r="B39" i="115"/>
  <c r="B45" i="115"/>
  <c r="B66" i="115"/>
  <c r="C51" i="115"/>
  <c r="C50" i="115"/>
  <c r="B46" i="115"/>
  <c r="B47" i="115"/>
  <c r="B62" i="115"/>
  <c r="B41" i="115"/>
  <c r="C12" i="115"/>
  <c r="C8" i="115"/>
  <c r="B42" i="115"/>
  <c r="C52" i="115"/>
  <c r="C43" i="115"/>
  <c r="B48" i="115"/>
  <c r="C19" i="115"/>
  <c r="B37" i="115"/>
  <c r="C17" i="115"/>
  <c r="B50" i="115"/>
  <c r="C20" i="115"/>
  <c r="C63" i="115"/>
  <c r="B65" i="115"/>
  <c r="B59" i="115"/>
  <c r="C7" i="115"/>
  <c r="C46" i="115"/>
  <c r="C44" i="115"/>
  <c r="C25" i="115"/>
  <c r="B54" i="115"/>
  <c r="B43" i="115"/>
  <c r="B61" i="115"/>
  <c r="C29" i="115"/>
  <c r="C3" i="115"/>
  <c r="C35" i="115"/>
  <c r="C16" i="115"/>
  <c r="C23" i="115"/>
  <c r="B40" i="115"/>
  <c r="C18" i="115"/>
  <c r="C27" i="115"/>
  <c r="C54" i="115"/>
  <c r="C65" i="115"/>
  <c r="C13" i="115"/>
  <c r="B52" i="115"/>
  <c r="C31" i="115"/>
  <c r="B53" i="115"/>
  <c r="C11" i="115"/>
  <c r="B49" i="115"/>
  <c r="C49" i="115"/>
  <c r="C62" i="115"/>
  <c r="B35" i="115"/>
  <c r="B51" i="115"/>
  <c r="C66" i="115"/>
  <c r="C32" i="115"/>
  <c r="C14" i="115"/>
  <c r="C10" i="115"/>
  <c r="C37" i="115"/>
  <c r="C9" i="115"/>
  <c r="C56" i="115"/>
  <c r="B55" i="115"/>
  <c r="F61" i="115"/>
  <c r="A61" i="115" s="1"/>
  <c r="BH12" i="115"/>
  <c r="BJ12" i="115"/>
  <c r="F66" i="115"/>
  <c r="A66" i="115" s="1"/>
  <c r="F52" i="115"/>
  <c r="A52" i="115" s="1"/>
  <c r="F26" i="115"/>
  <c r="A26" i="115" s="1"/>
  <c r="BH11" i="115" l="1"/>
  <c r="B57" i="15"/>
  <c r="E10" i="108"/>
  <c r="B39" i="15"/>
  <c r="E10" i="8"/>
  <c r="B33" i="15"/>
  <c r="E10" i="7"/>
  <c r="B15" i="15"/>
  <c r="E10" i="4"/>
  <c r="B75" i="15"/>
  <c r="E10" i="105"/>
  <c r="B81" i="15"/>
  <c r="E10" i="104"/>
  <c r="B87" i="15"/>
  <c r="E10" i="103"/>
  <c r="B99" i="15"/>
  <c r="E10" i="101"/>
  <c r="B93" i="15"/>
  <c r="E10" i="102"/>
  <c r="B21" i="15"/>
  <c r="E10" i="5"/>
  <c r="B51" i="15"/>
  <c r="E10" i="10"/>
  <c r="B9" i="15"/>
  <c r="E10" i="1"/>
  <c r="B63" i="15"/>
  <c r="E10" i="107"/>
  <c r="B69" i="15"/>
  <c r="E10" i="106"/>
  <c r="B27" i="15"/>
  <c r="E10" i="6"/>
  <c r="B45" i="15"/>
  <c r="E10" i="9"/>
  <c r="BJ16" i="115"/>
  <c r="BQ4" i="115"/>
  <c r="Q51" i="109"/>
  <c r="BP4" i="115"/>
  <c r="E25" i="109"/>
  <c r="BJ6" i="115"/>
  <c r="BH8" i="115"/>
  <c r="BH10" i="115"/>
  <c r="E17" i="109" s="1"/>
  <c r="BJ8" i="115"/>
  <c r="I47" i="109" s="1"/>
  <c r="BH15" i="115"/>
  <c r="BL9" i="115"/>
  <c r="BL6" i="115"/>
  <c r="BL3" i="115"/>
  <c r="BH18" i="115"/>
  <c r="BL10" i="115"/>
  <c r="M11" i="109" s="1"/>
  <c r="D105" i="15"/>
  <c r="K105" i="15" s="1"/>
  <c r="E11" i="100"/>
  <c r="D107" i="15" s="1"/>
  <c r="K107" i="15" s="1"/>
  <c r="E11" i="93"/>
  <c r="D149" i="15" s="1"/>
  <c r="K149" i="15" s="1"/>
  <c r="D147" i="15"/>
  <c r="K147" i="15" s="1"/>
  <c r="L1" i="101"/>
  <c r="B8" i="101"/>
  <c r="B98" i="15" s="1"/>
  <c r="B8" i="10"/>
  <c r="B50" i="15" s="1"/>
  <c r="L1" i="10"/>
  <c r="D176" i="15"/>
  <c r="K176" i="15" s="1"/>
  <c r="B11" i="88"/>
  <c r="D62" i="15"/>
  <c r="K62" i="15" s="1"/>
  <c r="B11" i="107"/>
  <c r="G6" i="84"/>
  <c r="G12" i="84"/>
  <c r="L1" i="84"/>
  <c r="L2" i="84" s="1"/>
  <c r="D38" i="15"/>
  <c r="K38" i="15" s="1"/>
  <c r="B11" i="8"/>
  <c r="B8" i="6"/>
  <c r="B26" i="15" s="1"/>
  <c r="L1" i="6"/>
  <c r="L1" i="103"/>
  <c r="B8" i="103"/>
  <c r="B86" i="15" s="1"/>
  <c r="D93" i="15"/>
  <c r="K93" i="15" s="1"/>
  <c r="E11" i="102"/>
  <c r="D164" i="15"/>
  <c r="K164" i="15" s="1"/>
  <c r="B11" i="90"/>
  <c r="D117" i="15"/>
  <c r="K117" i="15" s="1"/>
  <c r="E11" i="98"/>
  <c r="D119" i="15" s="1"/>
  <c r="K119" i="15" s="1"/>
  <c r="D194" i="15"/>
  <c r="K194" i="15" s="1"/>
  <c r="B11" i="85"/>
  <c r="E11" i="105"/>
  <c r="D75" i="15"/>
  <c r="K75" i="15" s="1"/>
  <c r="D116" i="15"/>
  <c r="K116" i="15" s="1"/>
  <c r="B11" i="98"/>
  <c r="BP6" i="115"/>
  <c r="BH3" i="115"/>
  <c r="L1" i="89"/>
  <c r="B8" i="89"/>
  <c r="B170" i="15" s="1"/>
  <c r="E11" i="101"/>
  <c r="D99" i="15"/>
  <c r="K99" i="15" s="1"/>
  <c r="E11" i="89"/>
  <c r="D173" i="15" s="1"/>
  <c r="K173" i="15" s="1"/>
  <c r="D171" i="15"/>
  <c r="K171" i="15" s="1"/>
  <c r="L1" i="90"/>
  <c r="B8" i="90"/>
  <c r="B164" i="15" s="1"/>
  <c r="E11" i="87"/>
  <c r="D185" i="15" s="1"/>
  <c r="K185" i="15" s="1"/>
  <c r="D183" i="15"/>
  <c r="K183" i="15" s="1"/>
  <c r="D182" i="15"/>
  <c r="K182" i="15" s="1"/>
  <c r="B11" i="87"/>
  <c r="B11" i="96"/>
  <c r="D128" i="15"/>
  <c r="K128" i="15" s="1"/>
  <c r="E11" i="107"/>
  <c r="D63" i="15"/>
  <c r="K63" i="15" s="1"/>
  <c r="B8" i="9"/>
  <c r="B44" i="15" s="1"/>
  <c r="L1" i="9"/>
  <c r="D74" i="15"/>
  <c r="K74" i="15" s="1"/>
  <c r="B11" i="105"/>
  <c r="B11" i="99"/>
  <c r="D110" i="15"/>
  <c r="K110" i="15" s="1"/>
  <c r="L1" i="85"/>
  <c r="B8" i="85"/>
  <c r="B194" i="15" s="1"/>
  <c r="L1" i="100"/>
  <c r="B8" i="100"/>
  <c r="B104" i="15" s="1"/>
  <c r="D98" i="15"/>
  <c r="K98" i="15" s="1"/>
  <c r="B11" i="101"/>
  <c r="BJ18" i="115"/>
  <c r="BH6" i="115"/>
  <c r="BR6" i="115"/>
  <c r="BJ10" i="115"/>
  <c r="BH17" i="115"/>
  <c r="Q19" i="109"/>
  <c r="B11" i="92"/>
  <c r="D152" i="15"/>
  <c r="K152" i="15" s="1"/>
  <c r="B8" i="106"/>
  <c r="B68" i="15" s="1"/>
  <c r="L1" i="106"/>
  <c r="E11" i="1"/>
  <c r="D11" i="15" s="1"/>
  <c r="K11" i="15" s="1"/>
  <c r="D9" i="15"/>
  <c r="K9" i="15" s="1"/>
  <c r="B11" i="97"/>
  <c r="D122" i="15"/>
  <c r="K122" i="15" s="1"/>
  <c r="E11" i="10"/>
  <c r="D51" i="15"/>
  <c r="K51" i="15" s="1"/>
  <c r="E11" i="95"/>
  <c r="D137" i="15" s="1"/>
  <c r="K137" i="15" s="1"/>
  <c r="D135" i="15"/>
  <c r="K135" i="15" s="1"/>
  <c r="B8" i="93"/>
  <c r="B146" i="15" s="1"/>
  <c r="L1" i="93"/>
  <c r="B11" i="10"/>
  <c r="D50" i="15"/>
  <c r="K50" i="15" s="1"/>
  <c r="G13" i="124"/>
  <c r="G7" i="124"/>
  <c r="D8" i="15"/>
  <c r="K8" i="15" s="1"/>
  <c r="B11" i="1"/>
  <c r="B17" i="1" s="1"/>
  <c r="D6" i="50" s="1"/>
  <c r="G6" i="124"/>
  <c r="G12" i="124"/>
  <c r="L1" i="124"/>
  <c r="L2" i="124" s="1"/>
  <c r="B8" i="94"/>
  <c r="B140" i="15" s="1"/>
  <c r="L1" i="94"/>
  <c r="D177" i="15"/>
  <c r="K177" i="15" s="1"/>
  <c r="E11" i="88"/>
  <c r="D179" i="15" s="1"/>
  <c r="K179" i="15" s="1"/>
  <c r="L1" i="87"/>
  <c r="B8" i="87"/>
  <c r="B182" i="15" s="1"/>
  <c r="B8" i="86"/>
  <c r="B188" i="15" s="1"/>
  <c r="L1" i="86"/>
  <c r="D158" i="15"/>
  <c r="K158" i="15" s="1"/>
  <c r="B11" i="91"/>
  <c r="D26" i="15"/>
  <c r="K26" i="15" s="1"/>
  <c r="B11" i="6"/>
  <c r="B17" i="6" s="1"/>
  <c r="D18" i="50" s="1"/>
  <c r="D15" i="15"/>
  <c r="K15" i="15" s="1"/>
  <c r="E11" i="4"/>
  <c r="D17" i="15" s="1"/>
  <c r="K17" i="15" s="1"/>
  <c r="B8" i="108"/>
  <c r="B56" i="15" s="1"/>
  <c r="L1" i="108"/>
  <c r="D14" i="15"/>
  <c r="K14" i="15" s="1"/>
  <c r="B11" i="4"/>
  <c r="B17" i="4" s="1"/>
  <c r="D10" i="50" s="1"/>
  <c r="E11" i="99"/>
  <c r="D113" i="15" s="1"/>
  <c r="K113" i="15" s="1"/>
  <c r="D111" i="15"/>
  <c r="K111" i="15" s="1"/>
  <c r="D104" i="15"/>
  <c r="K104" i="15" s="1"/>
  <c r="B11" i="100"/>
  <c r="L1" i="102"/>
  <c r="B8" i="102"/>
  <c r="B92" i="15" s="1"/>
  <c r="B8" i="8"/>
  <c r="B38" i="15" s="1"/>
  <c r="L1" i="8"/>
  <c r="B11" i="95"/>
  <c r="D134" i="15"/>
  <c r="K134" i="15" s="1"/>
  <c r="L1" i="91"/>
  <c r="B8" i="91"/>
  <c r="B158" i="15" s="1"/>
  <c r="D92" i="15"/>
  <c r="K92" i="15" s="1"/>
  <c r="B11" i="102"/>
  <c r="B11" i="86"/>
  <c r="D188" i="15"/>
  <c r="K188" i="15" s="1"/>
  <c r="B8" i="97"/>
  <c r="B122" i="15" s="1"/>
  <c r="L1" i="97"/>
  <c r="E11" i="104"/>
  <c r="D81" i="15"/>
  <c r="K81" i="15" s="1"/>
  <c r="B8" i="99"/>
  <c r="B110" i="15" s="1"/>
  <c r="L1" i="99"/>
  <c r="L1" i="95"/>
  <c r="B8" i="95"/>
  <c r="B134" i="15" s="1"/>
  <c r="B8" i="107"/>
  <c r="B62" i="15" s="1"/>
  <c r="L1" i="107"/>
  <c r="D170" i="15"/>
  <c r="K170" i="15" s="1"/>
  <c r="B11" i="89"/>
  <c r="E11" i="106"/>
  <c r="D69" i="15"/>
  <c r="K69" i="15" s="1"/>
  <c r="BJ13" i="115"/>
  <c r="BJ9" i="115"/>
  <c r="L1" i="7"/>
  <c r="B8" i="7"/>
  <c r="B32" i="15" s="1"/>
  <c r="B11" i="108"/>
  <c r="D56" i="15"/>
  <c r="K56" i="15" s="1"/>
  <c r="B10" i="108"/>
  <c r="L1" i="1"/>
  <c r="B8" i="1"/>
  <c r="B8" i="15" s="1"/>
  <c r="E11" i="92"/>
  <c r="D155" i="15" s="1"/>
  <c r="K155" i="15" s="1"/>
  <c r="D153" i="15"/>
  <c r="K153" i="15" s="1"/>
  <c r="G13" i="84"/>
  <c r="G7" i="84"/>
  <c r="B8" i="92"/>
  <c r="B152" i="15" s="1"/>
  <c r="L1" i="92"/>
  <c r="E11" i="5"/>
  <c r="D23" i="15" s="1"/>
  <c r="K23" i="15" s="1"/>
  <c r="D21" i="15"/>
  <c r="K21" i="15" s="1"/>
  <c r="D33" i="15"/>
  <c r="K33" i="15" s="1"/>
  <c r="E11" i="7"/>
  <c r="D35" i="15" s="1"/>
  <c r="K35" i="15" s="1"/>
  <c r="L1" i="4"/>
  <c r="B8" i="4"/>
  <c r="B14" i="15" s="1"/>
  <c r="B8" i="105"/>
  <c r="B74" i="15" s="1"/>
  <c r="L1" i="105"/>
  <c r="B8" i="98"/>
  <c r="B116" i="15" s="1"/>
  <c r="L1" i="98"/>
  <c r="D140" i="15"/>
  <c r="K140" i="15" s="1"/>
  <c r="B11" i="94"/>
  <c r="E44" i="109"/>
  <c r="E11" i="8"/>
  <c r="D39" i="15"/>
  <c r="K39" i="15" s="1"/>
  <c r="D68" i="15"/>
  <c r="K68" i="15" s="1"/>
  <c r="B11" i="106"/>
  <c r="D123" i="15"/>
  <c r="K123" i="15" s="1"/>
  <c r="E11" i="97"/>
  <c r="D125" i="15" s="1"/>
  <c r="K125" i="15" s="1"/>
  <c r="E11" i="103"/>
  <c r="D87" i="15"/>
  <c r="K87" i="15" s="1"/>
  <c r="D86" i="15"/>
  <c r="K86" i="15" s="1"/>
  <c r="E11" i="6"/>
  <c r="D29" i="15" s="1"/>
  <c r="K29" i="15" s="1"/>
  <c r="D27" i="15"/>
  <c r="K27" i="15" s="1"/>
  <c r="L1" i="104"/>
  <c r="B8" i="104"/>
  <c r="B80" i="15" s="1"/>
  <c r="B11" i="5"/>
  <c r="B17" i="5" s="1"/>
  <c r="D14" i="50" s="1"/>
  <c r="D20" i="15"/>
  <c r="K20" i="15" s="1"/>
  <c r="D45" i="15"/>
  <c r="K45" i="15" s="1"/>
  <c r="E11" i="9"/>
  <c r="B8" i="96"/>
  <c r="B128" i="15" s="1"/>
  <c r="L1" i="96"/>
  <c r="L1" i="88"/>
  <c r="B8" i="88"/>
  <c r="B176" i="15" s="1"/>
  <c r="D57" i="15"/>
  <c r="K57" i="15" s="1"/>
  <c r="E11" i="108"/>
  <c r="E11" i="86"/>
  <c r="D191" i="15" s="1"/>
  <c r="K191" i="15" s="1"/>
  <c r="D189" i="15"/>
  <c r="K189" i="15" s="1"/>
  <c r="D32" i="15"/>
  <c r="K32" i="15" s="1"/>
  <c r="B11" i="7"/>
  <c r="B17" i="7" s="1"/>
  <c r="D22" i="50" s="1"/>
  <c r="E11" i="96"/>
  <c r="D131" i="15" s="1"/>
  <c r="K131" i="15" s="1"/>
  <c r="D129" i="15"/>
  <c r="K129" i="15" s="1"/>
  <c r="D159" i="15"/>
  <c r="K159" i="15" s="1"/>
  <c r="E11" i="91"/>
  <c r="D161" i="15" s="1"/>
  <c r="K161" i="15" s="1"/>
  <c r="B11" i="93"/>
  <c r="D146" i="15"/>
  <c r="K146" i="15" s="1"/>
  <c r="D165" i="15"/>
  <c r="K165" i="15" s="1"/>
  <c r="E11" i="90"/>
  <c r="D167" i="15" s="1"/>
  <c r="K167" i="15" s="1"/>
  <c r="B11" i="9"/>
  <c r="D44" i="15"/>
  <c r="K44" i="15" s="1"/>
  <c r="D80" i="15"/>
  <c r="K80" i="15" s="1"/>
  <c r="B11" i="104"/>
  <c r="L1" i="5"/>
  <c r="B8" i="5"/>
  <c r="B20" i="15" s="1"/>
  <c r="E11" i="94"/>
  <c r="D143" i="15" s="1"/>
  <c r="K143" i="15" s="1"/>
  <c r="D141" i="15"/>
  <c r="K141" i="15" s="1"/>
  <c r="D195" i="15"/>
  <c r="K195" i="15" s="1"/>
  <c r="E11" i="85"/>
  <c r="D197" i="15" s="1"/>
  <c r="K197" i="15" s="1"/>
  <c r="A8" i="120"/>
  <c r="BH4" i="115"/>
  <c r="BJ4" i="115"/>
  <c r="BL4" i="115"/>
  <c r="D37" i="120"/>
  <c r="D69" i="120"/>
  <c r="D13" i="120"/>
  <c r="A68" i="120"/>
  <c r="A12" i="119"/>
  <c r="D40" i="120"/>
  <c r="I14" i="109"/>
  <c r="BJ14" i="115"/>
  <c r="I23" i="109" s="1"/>
  <c r="A5" i="119"/>
  <c r="A16" i="119"/>
  <c r="A40" i="120"/>
  <c r="A92" i="120"/>
  <c r="A13" i="56"/>
  <c r="A57" i="109"/>
  <c r="BJ3" i="115"/>
  <c r="A108" i="120"/>
  <c r="A29" i="109"/>
  <c r="BP3" i="115"/>
  <c r="A5" i="118"/>
  <c r="A49" i="120"/>
  <c r="D32" i="120"/>
  <c r="D76" i="120"/>
  <c r="A64" i="120"/>
  <c r="A8" i="109"/>
  <c r="A49" i="109"/>
  <c r="A72" i="120"/>
  <c r="A8" i="118"/>
  <c r="A48" i="109"/>
  <c r="A41" i="109"/>
  <c r="D5" i="120"/>
  <c r="D53" i="120"/>
  <c r="D125" i="120"/>
  <c r="D128" i="120"/>
  <c r="BL8" i="115"/>
  <c r="A4" i="109"/>
  <c r="BQ3" i="115"/>
  <c r="A69" i="120"/>
  <c r="A5" i="120"/>
  <c r="A4" i="119"/>
  <c r="A4" i="118"/>
  <c r="A124" i="120"/>
  <c r="D56" i="120"/>
  <c r="D21" i="120"/>
  <c r="A24" i="120"/>
  <c r="A16" i="120"/>
  <c r="A81" i="120"/>
  <c r="D93" i="120"/>
  <c r="D80" i="120"/>
  <c r="E5" i="109"/>
  <c r="A48" i="120"/>
  <c r="A80" i="120"/>
  <c r="A13" i="110"/>
  <c r="A112" i="120"/>
  <c r="D88" i="120"/>
  <c r="D72" i="120"/>
  <c r="D96" i="120"/>
  <c r="A8" i="56"/>
  <c r="A37" i="109"/>
  <c r="A60" i="109"/>
  <c r="A16" i="110"/>
  <c r="E53" i="109"/>
  <c r="D101" i="120"/>
  <c r="D8" i="120"/>
  <c r="A13" i="119"/>
  <c r="A121" i="120"/>
  <c r="A109" i="120"/>
  <c r="A77" i="120"/>
  <c r="A29" i="120"/>
  <c r="A76" i="120"/>
  <c r="A56" i="109"/>
  <c r="D48" i="120"/>
  <c r="A97" i="120"/>
  <c r="A9" i="119"/>
  <c r="A5" i="109"/>
  <c r="A9" i="118"/>
  <c r="A33" i="110"/>
  <c r="A24" i="110"/>
  <c r="A5" i="55"/>
  <c r="A17" i="119"/>
  <c r="A9" i="55"/>
  <c r="A52" i="120"/>
  <c r="A36" i="120"/>
  <c r="D120" i="120"/>
  <c r="A65" i="120"/>
  <c r="A8" i="55"/>
  <c r="A93" i="120"/>
  <c r="A84" i="120"/>
  <c r="A20" i="120"/>
  <c r="A28" i="120"/>
  <c r="A44" i="109"/>
  <c r="A33" i="120"/>
  <c r="D85" i="120"/>
  <c r="A16" i="109"/>
  <c r="A17" i="110"/>
  <c r="A88" i="120"/>
  <c r="A105" i="120"/>
  <c r="A4" i="110"/>
  <c r="A4" i="120"/>
  <c r="A32" i="110"/>
  <c r="A12" i="110"/>
  <c r="A96" i="120"/>
  <c r="A12" i="109"/>
  <c r="A12" i="56"/>
  <c r="A8" i="119"/>
  <c r="A37" i="120"/>
  <c r="A65" i="109"/>
  <c r="A29" i="110"/>
  <c r="A17" i="56"/>
  <c r="A45" i="109"/>
  <c r="A8" i="110"/>
  <c r="D16" i="120"/>
  <c r="A33" i="109"/>
  <c r="A13" i="120"/>
  <c r="A17" i="120"/>
  <c r="A40" i="109"/>
  <c r="A125" i="120"/>
  <c r="A32" i="120"/>
  <c r="A64" i="109"/>
  <c r="A56" i="120"/>
  <c r="A104" i="120"/>
  <c r="A17" i="109"/>
  <c r="A61" i="109"/>
  <c r="A44" i="120"/>
  <c r="D112" i="120"/>
  <c r="A85" i="120"/>
  <c r="A101" i="120"/>
  <c r="A117" i="120"/>
  <c r="A113" i="120"/>
  <c r="A128" i="120"/>
  <c r="D45" i="120"/>
  <c r="A28" i="109"/>
  <c r="A9" i="120"/>
  <c r="A16" i="56"/>
  <c r="A4" i="55"/>
  <c r="A61" i="120"/>
  <c r="D117" i="120"/>
  <c r="A20" i="109"/>
  <c r="A25" i="109"/>
  <c r="D104" i="120"/>
  <c r="A89" i="120"/>
  <c r="A5" i="56"/>
  <c r="A9" i="56"/>
  <c r="A45" i="120"/>
  <c r="A5" i="110"/>
  <c r="A36" i="109"/>
  <c r="D61" i="120"/>
  <c r="A9" i="110"/>
  <c r="A116" i="120"/>
  <c r="A21" i="109"/>
  <c r="A53" i="120"/>
  <c r="A41" i="120"/>
  <c r="A24" i="109"/>
  <c r="A60" i="120"/>
  <c r="A100" i="120"/>
  <c r="BH26" i="115"/>
  <c r="A13" i="109"/>
  <c r="A52" i="109"/>
  <c r="A53" i="109"/>
  <c r="D109" i="120"/>
  <c r="A25" i="110"/>
  <c r="A73" i="120"/>
  <c r="A120" i="120"/>
  <c r="D24" i="120"/>
  <c r="A12" i="120"/>
  <c r="D64" i="120"/>
  <c r="A57" i="120"/>
  <c r="D29" i="120"/>
  <c r="A25" i="120"/>
  <c r="A9" i="109"/>
  <c r="A21" i="120"/>
  <c r="A4" i="56"/>
  <c r="A129" i="120"/>
  <c r="A32" i="109"/>
  <c r="A28" i="110"/>
  <c r="A20" i="110"/>
  <c r="A21" i="110"/>
  <c r="D2" i="123"/>
  <c r="AC2" i="123"/>
  <c r="B2" i="123"/>
  <c r="Z2" i="123"/>
  <c r="S2" i="123"/>
  <c r="AE2" i="123"/>
  <c r="I2" i="123"/>
  <c r="O2" i="123"/>
  <c r="P2" i="123"/>
  <c r="V2" i="123"/>
  <c r="N2" i="123"/>
  <c r="J2" i="123"/>
  <c r="X2" i="123"/>
  <c r="Y2" i="123"/>
  <c r="E2" i="123"/>
  <c r="A2" i="123"/>
  <c r="M2" i="123"/>
  <c r="L2" i="123"/>
  <c r="F2" i="123"/>
  <c r="K2" i="123"/>
  <c r="W2" i="123"/>
  <c r="AF2" i="123"/>
  <c r="T2" i="123"/>
  <c r="R2" i="123"/>
  <c r="U2" i="123"/>
  <c r="Q2" i="123"/>
  <c r="AA2" i="123"/>
  <c r="H2" i="123"/>
  <c r="C2" i="123"/>
  <c r="AB2" i="123"/>
  <c r="G2" i="123"/>
  <c r="AD2" i="123"/>
  <c r="D59" i="15" l="1"/>
  <c r="K59" i="15" s="1"/>
  <c r="B17" i="108"/>
  <c r="D38" i="50" s="1"/>
  <c r="B58" i="15"/>
  <c r="B14" i="108"/>
  <c r="D35" i="50" s="1"/>
  <c r="B12" i="108"/>
  <c r="D58" i="15"/>
  <c r="K58" i="15" s="1"/>
  <c r="D41" i="15"/>
  <c r="K41" i="15" s="1"/>
  <c r="B17" i="8"/>
  <c r="D26" i="50" s="1"/>
  <c r="B12" i="8"/>
  <c r="D40" i="15"/>
  <c r="K40" i="15" s="1"/>
  <c r="B10" i="8"/>
  <c r="B22" i="50"/>
  <c r="A22" i="50"/>
  <c r="B12" i="7"/>
  <c r="D34" i="15"/>
  <c r="K34" i="15" s="1"/>
  <c r="A10" i="50"/>
  <c r="B10" i="50"/>
  <c r="B11" i="103"/>
  <c r="B17" i="103" s="1"/>
  <c r="D58" i="50" s="1"/>
  <c r="D16" i="15"/>
  <c r="K16" i="15" s="1"/>
  <c r="B12" i="4"/>
  <c r="D77" i="15"/>
  <c r="K77" i="15" s="1"/>
  <c r="B17" i="105"/>
  <c r="D50" i="50" s="1"/>
  <c r="B10" i="105"/>
  <c r="B12" i="105"/>
  <c r="D76" i="15"/>
  <c r="K76" i="15" s="1"/>
  <c r="D83" i="15"/>
  <c r="K83" i="15" s="1"/>
  <c r="B17" i="104"/>
  <c r="D54" i="50" s="1"/>
  <c r="D82" i="15"/>
  <c r="K82" i="15" s="1"/>
  <c r="B10" i="104"/>
  <c r="B12" i="104" s="1"/>
  <c r="D89" i="15"/>
  <c r="K89" i="15" s="1"/>
  <c r="B12" i="103"/>
  <c r="D88" i="15"/>
  <c r="K88" i="15" s="1"/>
  <c r="B10" i="103"/>
  <c r="D101" i="15"/>
  <c r="K101" i="15" s="1"/>
  <c r="B17" i="101"/>
  <c r="D66" i="50" s="1"/>
  <c r="D100" i="15"/>
  <c r="K100" i="15" s="1"/>
  <c r="B12" i="101"/>
  <c r="D95" i="15"/>
  <c r="K95" i="15" s="1"/>
  <c r="B17" i="102"/>
  <c r="D62" i="50" s="1"/>
  <c r="D94" i="15"/>
  <c r="K94" i="15" s="1"/>
  <c r="B12" i="102"/>
  <c r="B10" i="102"/>
  <c r="B14" i="50"/>
  <c r="A14" i="50"/>
  <c r="B12" i="5"/>
  <c r="D22" i="15"/>
  <c r="K22" i="15" s="1"/>
  <c r="D53" i="15"/>
  <c r="K53" i="15" s="1"/>
  <c r="B17" i="10"/>
  <c r="D34" i="50" s="1"/>
  <c r="B12" i="10"/>
  <c r="D52" i="15"/>
  <c r="K52" i="15" s="1"/>
  <c r="B10" i="10"/>
  <c r="B6" i="50"/>
  <c r="A6" i="50"/>
  <c r="D10" i="15"/>
  <c r="K10" i="15" s="1"/>
  <c r="B12" i="1"/>
  <c r="D65" i="15"/>
  <c r="K65" i="15" s="1"/>
  <c r="B17" i="107"/>
  <c r="D42" i="50" s="1"/>
  <c r="D64" i="15"/>
  <c r="K64" i="15" s="1"/>
  <c r="B10" i="107"/>
  <c r="B12" i="107" s="1"/>
  <c r="D71" i="15"/>
  <c r="K71" i="15" s="1"/>
  <c r="B17" i="106"/>
  <c r="D46" i="50" s="1"/>
  <c r="D70" i="15"/>
  <c r="K70" i="15" s="1"/>
  <c r="B12" i="106"/>
  <c r="B10" i="106"/>
  <c r="B18" i="50"/>
  <c r="A18" i="50"/>
  <c r="AY5" i="115"/>
  <c r="AY4" i="115"/>
  <c r="B12" i="6"/>
  <c r="D28" i="15"/>
  <c r="K28" i="15" s="1"/>
  <c r="D47" i="15"/>
  <c r="K47" i="15" s="1"/>
  <c r="B17" i="9"/>
  <c r="D30" i="50" s="1"/>
  <c r="D46" i="15"/>
  <c r="K46" i="15" s="1"/>
  <c r="B10" i="9"/>
  <c r="B12" i="9" s="1"/>
  <c r="BA4" i="115"/>
  <c r="AU12" i="115"/>
  <c r="AU6" i="115"/>
  <c r="B10" i="6"/>
  <c r="AU15" i="115"/>
  <c r="B10" i="7"/>
  <c r="B10" i="89"/>
  <c r="B172" i="15" s="1"/>
  <c r="B10" i="100"/>
  <c r="B106" i="15" s="1"/>
  <c r="AW9" i="115"/>
  <c r="AW6" i="115"/>
  <c r="B10" i="87"/>
  <c r="B184" i="15" s="1"/>
  <c r="B10" i="97"/>
  <c r="B124" i="15" s="1"/>
  <c r="B10" i="94"/>
  <c r="B142" i="15" s="1"/>
  <c r="B10" i="98"/>
  <c r="B118" i="15" s="1"/>
  <c r="BA6" i="115"/>
  <c r="B10" i="4"/>
  <c r="AU8" i="115"/>
  <c r="AU18" i="115"/>
  <c r="B10" i="93"/>
  <c r="B148" i="15" s="1"/>
  <c r="B10" i="5"/>
  <c r="B10" i="101"/>
  <c r="R3" i="123"/>
  <c r="R5" i="123"/>
  <c r="O3" i="123"/>
  <c r="AB5" i="123"/>
  <c r="AB3" i="123"/>
  <c r="H3" i="123"/>
  <c r="Z3" i="123"/>
  <c r="Z5" i="123"/>
  <c r="I3" i="123"/>
  <c r="K3" i="123"/>
  <c r="G3" i="123"/>
  <c r="N3" i="123"/>
  <c r="C3" i="123"/>
  <c r="AC3" i="123"/>
  <c r="AC5" i="123"/>
  <c r="B3" i="123"/>
  <c r="A3" i="123"/>
  <c r="A4" i="123"/>
  <c r="AD3" i="123"/>
  <c r="AD5" i="123"/>
  <c r="X3" i="123"/>
  <c r="X5" i="123"/>
  <c r="Y4" i="123" s="1"/>
  <c r="AF3" i="123"/>
  <c r="AF5" i="123"/>
  <c r="AA3" i="123"/>
  <c r="AA5" i="123"/>
  <c r="D3" i="123"/>
  <c r="J3" i="123"/>
  <c r="T3" i="123"/>
  <c r="T5" i="123"/>
  <c r="U4" i="123" s="1"/>
  <c r="Q3" i="123"/>
  <c r="Q5" i="123"/>
  <c r="S3" i="123"/>
  <c r="S5" i="123"/>
  <c r="F3" i="123"/>
  <c r="W5" i="123"/>
  <c r="W3" i="123"/>
  <c r="U3" i="123"/>
  <c r="U5" i="123"/>
  <c r="V4" i="123" s="1"/>
  <c r="M3" i="123"/>
  <c r="L3" i="123"/>
  <c r="Y5" i="123"/>
  <c r="Y3" i="123"/>
  <c r="E3" i="123"/>
  <c r="V3" i="123"/>
  <c r="V5" i="123"/>
  <c r="AE5" i="123"/>
  <c r="AF4" i="123" s="1"/>
  <c r="AE3" i="123"/>
  <c r="P3" i="123"/>
  <c r="B47" i="15"/>
  <c r="E12" i="9"/>
  <c r="T1" i="99"/>
  <c r="B191" i="15"/>
  <c r="E12" i="86"/>
  <c r="D192" i="15" s="1"/>
  <c r="K192" i="15" s="1"/>
  <c r="E12" i="95"/>
  <c r="D138" i="15" s="1"/>
  <c r="K138" i="15" s="1"/>
  <c r="B137" i="15"/>
  <c r="T1" i="102"/>
  <c r="B10" i="91"/>
  <c r="B160" i="15" s="1"/>
  <c r="E12" i="92"/>
  <c r="D156" i="15" s="1"/>
  <c r="K156" i="15" s="1"/>
  <c r="B155" i="15"/>
  <c r="T1" i="89"/>
  <c r="B167" i="15"/>
  <c r="E12" i="90"/>
  <c r="D168" i="15" s="1"/>
  <c r="K168" i="15" s="1"/>
  <c r="T1" i="10"/>
  <c r="AW5" i="115"/>
  <c r="E12" i="93"/>
  <c r="D150" i="15" s="1"/>
  <c r="K150" i="15" s="1"/>
  <c r="B149" i="15"/>
  <c r="B23" i="15"/>
  <c r="E12" i="5"/>
  <c r="T1" i="91"/>
  <c r="T1" i="108"/>
  <c r="E12" i="91"/>
  <c r="D162" i="15" s="1"/>
  <c r="K162" i="15" s="1"/>
  <c r="B161" i="15"/>
  <c r="E12" i="10"/>
  <c r="B53" i="15"/>
  <c r="T1" i="106"/>
  <c r="B10" i="92"/>
  <c r="B154" i="15" s="1"/>
  <c r="T1" i="9"/>
  <c r="B10" i="96"/>
  <c r="B130" i="15" s="1"/>
  <c r="T1" i="103"/>
  <c r="B41" i="15"/>
  <c r="E12" i="8"/>
  <c r="B10" i="88"/>
  <c r="B178" i="15" s="1"/>
  <c r="AW7" i="115"/>
  <c r="AU5" i="115"/>
  <c r="T1" i="5"/>
  <c r="T1" i="88"/>
  <c r="B71" i="15"/>
  <c r="E12" i="106"/>
  <c r="T1" i="4"/>
  <c r="T1" i="1"/>
  <c r="E13" i="109"/>
  <c r="B173" i="15"/>
  <c r="E12" i="89"/>
  <c r="D174" i="15" s="1"/>
  <c r="K174" i="15" s="1"/>
  <c r="B10" i="86"/>
  <c r="B190" i="15" s="1"/>
  <c r="E12" i="102"/>
  <c r="B95" i="15"/>
  <c r="B10" i="95"/>
  <c r="B136" i="15" s="1"/>
  <c r="E12" i="100"/>
  <c r="D108" i="15" s="1"/>
  <c r="K108" i="15" s="1"/>
  <c r="B107" i="15"/>
  <c r="E12" i="6"/>
  <c r="B29" i="15"/>
  <c r="T1" i="87"/>
  <c r="B10" i="1"/>
  <c r="T1" i="93"/>
  <c r="B125" i="15"/>
  <c r="E12" i="97"/>
  <c r="D126" i="15" s="1"/>
  <c r="K126" i="15" s="1"/>
  <c r="AU10" i="115"/>
  <c r="T1" i="85"/>
  <c r="T1" i="90"/>
  <c r="B119" i="15"/>
  <c r="E12" i="98"/>
  <c r="D120" i="15" s="1"/>
  <c r="K120" i="15" s="1"/>
  <c r="B10" i="85"/>
  <c r="B196" i="15" s="1"/>
  <c r="T1" i="6"/>
  <c r="B65" i="15"/>
  <c r="E12" i="107"/>
  <c r="B179" i="15"/>
  <c r="E12" i="88"/>
  <c r="D180" i="15" s="1"/>
  <c r="K180" i="15" s="1"/>
  <c r="AY6" i="115"/>
  <c r="B83" i="15"/>
  <c r="E12" i="104"/>
  <c r="T1" i="107"/>
  <c r="T1" i="97"/>
  <c r="T1" i="100"/>
  <c r="AU11" i="115"/>
  <c r="AU17" i="115"/>
  <c r="AU7" i="115"/>
  <c r="E12" i="110" s="1"/>
  <c r="T1" i="98"/>
  <c r="E12" i="108"/>
  <c r="B59" i="15"/>
  <c r="T1" i="8"/>
  <c r="AW10" i="115"/>
  <c r="T1" i="94"/>
  <c r="B101" i="15"/>
  <c r="E12" i="101"/>
  <c r="B113" i="15"/>
  <c r="E12" i="99"/>
  <c r="D114" i="15" s="1"/>
  <c r="K114" i="15" s="1"/>
  <c r="B185" i="15"/>
  <c r="E12" i="87"/>
  <c r="D186" i="15" s="1"/>
  <c r="K186" i="15" s="1"/>
  <c r="AU14" i="115"/>
  <c r="AU16" i="115"/>
  <c r="BA5" i="115"/>
  <c r="Q33" i="110" s="1"/>
  <c r="B35" i="15"/>
  <c r="E12" i="7"/>
  <c r="T1" i="96"/>
  <c r="T1" i="104"/>
  <c r="E12" i="94"/>
  <c r="D144" i="15" s="1"/>
  <c r="K144" i="15" s="1"/>
  <c r="B143" i="15"/>
  <c r="T1" i="105"/>
  <c r="T1" i="92"/>
  <c r="T1" i="7"/>
  <c r="T1" i="95"/>
  <c r="E12" i="4"/>
  <c r="B17" i="15"/>
  <c r="T1" i="86"/>
  <c r="E12" i="1"/>
  <c r="B11" i="15"/>
  <c r="B10" i="99"/>
  <c r="B112" i="15" s="1"/>
  <c r="B77" i="15"/>
  <c r="E12" i="105"/>
  <c r="B131" i="15"/>
  <c r="E12" i="96"/>
  <c r="D132" i="15" s="1"/>
  <c r="K132" i="15" s="1"/>
  <c r="B197" i="15"/>
  <c r="E12" i="85"/>
  <c r="D198" i="15" s="1"/>
  <c r="K198" i="15" s="1"/>
  <c r="B10" i="90"/>
  <c r="B166" i="15" s="1"/>
  <c r="T1" i="101"/>
  <c r="AY3" i="115"/>
  <c r="G123" i="15"/>
  <c r="G131" i="15"/>
  <c r="G141" i="15"/>
  <c r="S1" i="87"/>
  <c r="G105" i="15"/>
  <c r="G198" i="15"/>
  <c r="R1" i="96"/>
  <c r="G185" i="15"/>
  <c r="G161" i="15"/>
  <c r="H2" i="124"/>
  <c r="S1" i="99"/>
  <c r="G147" i="15"/>
  <c r="G138" i="15"/>
  <c r="G195" i="15"/>
  <c r="G137" i="15"/>
  <c r="G128" i="15"/>
  <c r="S1" i="94"/>
  <c r="G136" i="15"/>
  <c r="G165" i="15"/>
  <c r="G156" i="15"/>
  <c r="G177" i="15"/>
  <c r="G143" i="15"/>
  <c r="G113" i="15"/>
  <c r="G10" i="15"/>
  <c r="G171" i="15"/>
  <c r="S1" i="93"/>
  <c r="R1" i="1"/>
  <c r="G149" i="15"/>
  <c r="G197" i="15"/>
  <c r="G135" i="15"/>
  <c r="G129" i="15"/>
  <c r="G189" i="15"/>
  <c r="G167" i="15"/>
  <c r="S1" i="85"/>
  <c r="R1" i="92"/>
  <c r="S1" i="89"/>
  <c r="S1" i="96"/>
  <c r="G125" i="15"/>
  <c r="G173" i="15"/>
  <c r="G154" i="15"/>
  <c r="G117" i="15"/>
  <c r="S1" i="98"/>
  <c r="G153" i="15"/>
  <c r="G12" i="15"/>
  <c r="G107" i="15"/>
  <c r="S1" i="95"/>
  <c r="R1" i="95"/>
  <c r="S1" i="92"/>
  <c r="G159" i="15"/>
  <c r="R1" i="85"/>
  <c r="G134" i="15"/>
  <c r="G8" i="15"/>
  <c r="S1" i="100"/>
  <c r="P2" i="124"/>
  <c r="S1" i="90"/>
  <c r="G179" i="15"/>
  <c r="G152" i="15"/>
  <c r="S1" i="88"/>
  <c r="G111" i="15"/>
  <c r="G132" i="15"/>
  <c r="G183" i="15"/>
  <c r="G155" i="15"/>
  <c r="S1" i="86"/>
  <c r="G191" i="15"/>
  <c r="G194" i="15"/>
  <c r="S1" i="97"/>
  <c r="G196" i="15"/>
  <c r="G119" i="15"/>
  <c r="S1" i="91"/>
  <c r="G130" i="15"/>
  <c r="B60" i="15" l="1"/>
  <c r="B15" i="108"/>
  <c r="D36" i="50" s="1"/>
  <c r="D60" i="15"/>
  <c r="K60" i="15" s="1"/>
  <c r="B16" i="108"/>
  <c r="D37" i="50" s="1"/>
  <c r="D42" i="15"/>
  <c r="K42" i="15" s="1"/>
  <c r="B16" i="8"/>
  <c r="D25" i="50" s="1"/>
  <c r="B42" i="15"/>
  <c r="B15" i="8"/>
  <c r="D24" i="50" s="1"/>
  <c r="B36" i="15"/>
  <c r="B15" i="7"/>
  <c r="D20" i="50" s="1"/>
  <c r="D36" i="15"/>
  <c r="K36" i="15" s="1"/>
  <c r="B16" i="7"/>
  <c r="D21" i="50" s="1"/>
  <c r="B38" i="50"/>
  <c r="A38" i="50"/>
  <c r="A35" i="50"/>
  <c r="B35" i="50"/>
  <c r="B26" i="50"/>
  <c r="A26" i="50"/>
  <c r="B40" i="15"/>
  <c r="B14" i="8"/>
  <c r="D23" i="50" s="1"/>
  <c r="B34" i="15"/>
  <c r="B14" i="7"/>
  <c r="D19" i="50" s="1"/>
  <c r="E12" i="103"/>
  <c r="D90" i="15" s="1"/>
  <c r="K90" i="15" s="1"/>
  <c r="D18" i="15"/>
  <c r="K18" i="15" s="1"/>
  <c r="B16" i="4"/>
  <c r="D9" i="50" s="1"/>
  <c r="B18" i="15"/>
  <c r="B15" i="4"/>
  <c r="D8" i="50" s="1"/>
  <c r="B89" i="15"/>
  <c r="B16" i="15"/>
  <c r="B14" i="4"/>
  <c r="D7" i="50" s="1"/>
  <c r="B78" i="15"/>
  <c r="B15" i="105"/>
  <c r="D48" i="50" s="1"/>
  <c r="D78" i="15"/>
  <c r="K78" i="15" s="1"/>
  <c r="B16" i="105"/>
  <c r="D49" i="50" s="1"/>
  <c r="B50" i="50"/>
  <c r="A50" i="50"/>
  <c r="B76" i="15"/>
  <c r="B14" i="105"/>
  <c r="D47" i="50" s="1"/>
  <c r="B84" i="15"/>
  <c r="B15" i="104"/>
  <c r="D52" i="50" s="1"/>
  <c r="D84" i="15"/>
  <c r="K84" i="15" s="1"/>
  <c r="B16" i="104"/>
  <c r="D53" i="50" s="1"/>
  <c r="B54" i="50"/>
  <c r="A54" i="50"/>
  <c r="B82" i="15"/>
  <c r="B14" i="104"/>
  <c r="D51" i="50" s="1"/>
  <c r="B90" i="15"/>
  <c r="B15" i="103"/>
  <c r="D56" i="50" s="1"/>
  <c r="B58" i="50"/>
  <c r="A58" i="50"/>
  <c r="B88" i="15"/>
  <c r="B14" i="103"/>
  <c r="D55" i="50" s="1"/>
  <c r="B102" i="15"/>
  <c r="B16" i="101"/>
  <c r="D65" i="50" s="1"/>
  <c r="D102" i="15"/>
  <c r="K102" i="15" s="1"/>
  <c r="B15" i="101"/>
  <c r="D64" i="50" s="1"/>
  <c r="A66" i="50"/>
  <c r="B66" i="50"/>
  <c r="B100" i="15"/>
  <c r="B14" i="101"/>
  <c r="D63" i="50" s="1"/>
  <c r="D96" i="15"/>
  <c r="K96" i="15" s="1"/>
  <c r="B16" i="102"/>
  <c r="D61" i="50" s="1"/>
  <c r="B96" i="15"/>
  <c r="B15" i="102"/>
  <c r="D60" i="50" s="1"/>
  <c r="B62" i="50"/>
  <c r="A62" i="50"/>
  <c r="B94" i="15"/>
  <c r="B14" i="102"/>
  <c r="D59" i="50" s="1"/>
  <c r="B24" i="15"/>
  <c r="B15" i="5"/>
  <c r="D12" i="50" s="1"/>
  <c r="D24" i="15"/>
  <c r="K24" i="15" s="1"/>
  <c r="B16" i="5"/>
  <c r="D13" i="50" s="1"/>
  <c r="B22" i="15"/>
  <c r="B14" i="5"/>
  <c r="D11" i="50" s="1"/>
  <c r="D54" i="15"/>
  <c r="K54" i="15" s="1"/>
  <c r="B16" i="10"/>
  <c r="D33" i="50" s="1"/>
  <c r="B54" i="15"/>
  <c r="B15" i="10"/>
  <c r="D32" i="50" s="1"/>
  <c r="A34" i="50"/>
  <c r="B34" i="50"/>
  <c r="B52" i="15"/>
  <c r="B14" i="10"/>
  <c r="D31" i="50" s="1"/>
  <c r="D12" i="15"/>
  <c r="K12" i="15" s="1"/>
  <c r="B16" i="1"/>
  <c r="D5" i="50" s="1"/>
  <c r="B12" i="15"/>
  <c r="B15" i="1"/>
  <c r="D4" i="50" s="1"/>
  <c r="B10" i="15"/>
  <c r="B14" i="1"/>
  <c r="D3" i="50" s="1"/>
  <c r="D66" i="15"/>
  <c r="K66" i="15" s="1"/>
  <c r="B16" i="107"/>
  <c r="D41" i="50" s="1"/>
  <c r="B66" i="15"/>
  <c r="B15" i="107"/>
  <c r="D40" i="50" s="1"/>
  <c r="B42" i="50"/>
  <c r="A42" i="50"/>
  <c r="B64" i="15"/>
  <c r="B14" i="107"/>
  <c r="D39" i="50" s="1"/>
  <c r="B72" i="15"/>
  <c r="B15" i="106"/>
  <c r="D44" i="50" s="1"/>
  <c r="D72" i="15"/>
  <c r="K72" i="15" s="1"/>
  <c r="B16" i="106"/>
  <c r="D45" i="50" s="1"/>
  <c r="A46" i="50"/>
  <c r="B46" i="50"/>
  <c r="B70" i="15"/>
  <c r="B14" i="106"/>
  <c r="D43" i="50" s="1"/>
  <c r="D30" i="15"/>
  <c r="K30" i="15" s="1"/>
  <c r="B16" i="6"/>
  <c r="D17" i="50" s="1"/>
  <c r="B30" i="15"/>
  <c r="B15" i="6"/>
  <c r="D16" i="50" s="1"/>
  <c r="M26" i="110"/>
  <c r="M27" i="110"/>
  <c r="B28" i="15"/>
  <c r="B14" i="6"/>
  <c r="D15" i="50" s="1"/>
  <c r="B48" i="15"/>
  <c r="B15" i="9"/>
  <c r="D28" i="50" s="1"/>
  <c r="D48" i="15"/>
  <c r="K48" i="15" s="1"/>
  <c r="B16" i="9"/>
  <c r="D29" i="50" s="1"/>
  <c r="E29" i="110"/>
  <c r="A30" i="50"/>
  <c r="B30" i="50"/>
  <c r="B46" i="15"/>
  <c r="B14" i="9"/>
  <c r="D27" i="50" s="1"/>
  <c r="AW3" i="115"/>
  <c r="E17" i="110"/>
  <c r="M11" i="110"/>
  <c r="AU4" i="115"/>
  <c r="I30" i="110"/>
  <c r="E16" i="110"/>
  <c r="I15" i="110"/>
  <c r="E21" i="110"/>
  <c r="A5" i="123"/>
  <c r="B4" i="123" s="1"/>
  <c r="BA3" i="115"/>
  <c r="Q19" i="110" s="1"/>
  <c r="AN4" i="115" s="1"/>
  <c r="Q32" i="110"/>
  <c r="E25" i="110"/>
  <c r="M10" i="110"/>
  <c r="AW4" i="115"/>
  <c r="I31" i="110" s="1"/>
  <c r="AU3" i="115"/>
  <c r="E5" i="110"/>
  <c r="H17" i="124"/>
  <c r="D3" i="124"/>
  <c r="H5" i="124"/>
  <c r="W4" i="123"/>
  <c r="X4" i="123"/>
  <c r="AE4" i="123"/>
  <c r="AW8" i="115"/>
  <c r="I14" i="110" s="1"/>
  <c r="AB4" i="123"/>
  <c r="R4" i="123"/>
  <c r="AU9" i="115"/>
  <c r="E9" i="110" s="1"/>
  <c r="E32" i="110"/>
  <c r="E8" i="110"/>
  <c r="T4" i="123"/>
  <c r="AD4" i="123"/>
  <c r="Z4" i="123"/>
  <c r="AN5" i="115"/>
  <c r="AA4" i="123"/>
  <c r="S4" i="123"/>
  <c r="AC4" i="123"/>
  <c r="AU13" i="115"/>
  <c r="E13" i="110" s="1"/>
  <c r="I7" i="110"/>
  <c r="E20" i="110"/>
  <c r="I22" i="110"/>
  <c r="J2" i="124"/>
  <c r="G186" i="15"/>
  <c r="S1" i="1"/>
  <c r="G190" i="15"/>
  <c r="G14" i="15"/>
  <c r="G112" i="15"/>
  <c r="G122" i="15"/>
  <c r="G166" i="15"/>
  <c r="R1" i="4"/>
  <c r="G146" i="15"/>
  <c r="G188" i="15"/>
  <c r="R1" i="86"/>
  <c r="G180" i="15"/>
  <c r="G142" i="15"/>
  <c r="G126" i="15"/>
  <c r="G158" i="15"/>
  <c r="G9" i="15"/>
  <c r="G118" i="15"/>
  <c r="G124" i="15"/>
  <c r="G16" i="15"/>
  <c r="G110" i="15"/>
  <c r="G168" i="15"/>
  <c r="R1" i="98"/>
  <c r="G140" i="15"/>
  <c r="G150" i="15"/>
  <c r="R1" i="99"/>
  <c r="R1" i="87"/>
  <c r="G114" i="15"/>
  <c r="G178" i="15"/>
  <c r="R1" i="88"/>
  <c r="G172" i="15"/>
  <c r="G18" i="15"/>
  <c r="G11" i="15"/>
  <c r="G162" i="15"/>
  <c r="G184" i="15"/>
  <c r="R1" i="91"/>
  <c r="R1" i="94"/>
  <c r="G182" i="15"/>
  <c r="G148" i="15"/>
  <c r="R1" i="90"/>
  <c r="G170" i="15"/>
  <c r="G120" i="15"/>
  <c r="G176" i="15"/>
  <c r="G116" i="15"/>
  <c r="R1" i="97"/>
  <c r="G174" i="15"/>
  <c r="R1" i="89"/>
  <c r="G192" i="15"/>
  <c r="R1" i="93"/>
  <c r="G160" i="15"/>
  <c r="G144" i="15"/>
  <c r="G164" i="15"/>
  <c r="AL5" i="115" l="1"/>
  <c r="B37" i="50"/>
  <c r="A37" i="50"/>
  <c r="B36" i="50"/>
  <c r="A36" i="50"/>
  <c r="A24" i="50"/>
  <c r="B24" i="50"/>
  <c r="B25" i="50"/>
  <c r="A25" i="50"/>
  <c r="A21" i="50"/>
  <c r="B21" i="50"/>
  <c r="B20" i="50"/>
  <c r="A20" i="50"/>
  <c r="A23" i="50"/>
  <c r="B23" i="50"/>
  <c r="B16" i="103"/>
  <c r="D57" i="50" s="1"/>
  <c r="A57" i="50" s="1"/>
  <c r="A19" i="50"/>
  <c r="B19" i="50"/>
  <c r="A9" i="50"/>
  <c r="B9" i="50"/>
  <c r="A8" i="50"/>
  <c r="B8" i="50"/>
  <c r="B7" i="50"/>
  <c r="A7" i="50"/>
  <c r="B49" i="50"/>
  <c r="A49" i="50"/>
  <c r="A48" i="50"/>
  <c r="B48" i="50"/>
  <c r="B47" i="50"/>
  <c r="A47" i="50"/>
  <c r="A53" i="50"/>
  <c r="B53" i="50"/>
  <c r="B52" i="50"/>
  <c r="A52" i="50"/>
  <c r="B51" i="50"/>
  <c r="A51" i="50"/>
  <c r="B56" i="50"/>
  <c r="A56" i="50"/>
  <c r="A55" i="50"/>
  <c r="B55" i="50"/>
  <c r="A64" i="50"/>
  <c r="B64" i="50"/>
  <c r="B65" i="50"/>
  <c r="A65" i="50"/>
  <c r="A63" i="50"/>
  <c r="B63" i="50"/>
  <c r="A60" i="50"/>
  <c r="B60" i="50"/>
  <c r="A61" i="50"/>
  <c r="B61" i="50"/>
  <c r="A59" i="50"/>
  <c r="B59" i="50"/>
  <c r="A13" i="50"/>
  <c r="B13" i="50"/>
  <c r="B12" i="50"/>
  <c r="A12" i="50"/>
  <c r="B11" i="50"/>
  <c r="A11" i="50"/>
  <c r="B32" i="50"/>
  <c r="A32" i="50"/>
  <c r="B33" i="50"/>
  <c r="A33" i="50"/>
  <c r="A31" i="50"/>
  <c r="B31" i="50"/>
  <c r="B4" i="50"/>
  <c r="A4" i="50"/>
  <c r="B5" i="50"/>
  <c r="A5" i="50"/>
  <c r="B3" i="50"/>
  <c r="A3" i="50"/>
  <c r="B40" i="50"/>
  <c r="A40" i="50"/>
  <c r="B41" i="50"/>
  <c r="A41" i="50"/>
  <c r="A39" i="50"/>
  <c r="B39" i="50"/>
  <c r="A44" i="50"/>
  <c r="B44" i="50"/>
  <c r="A45" i="50"/>
  <c r="B45" i="50"/>
  <c r="AL4" i="115"/>
  <c r="B43" i="50"/>
  <c r="A43" i="50"/>
  <c r="A16" i="50"/>
  <c r="B16" i="50"/>
  <c r="A17" i="50"/>
  <c r="B17" i="50"/>
  <c r="A15" i="50"/>
  <c r="B15" i="50"/>
  <c r="A28" i="50"/>
  <c r="B28" i="50"/>
  <c r="A29" i="50"/>
  <c r="B29" i="50"/>
  <c r="A27" i="50"/>
  <c r="B27" i="50"/>
  <c r="AJ6" i="115"/>
  <c r="AN6" i="115"/>
  <c r="M20" i="119" s="1"/>
  <c r="Z6" i="115" s="1"/>
  <c r="AL6" i="115"/>
  <c r="I6" i="110"/>
  <c r="AJ3" i="115" s="1"/>
  <c r="AJ9" i="115"/>
  <c r="M21" i="119"/>
  <c r="Z5" i="115" s="1"/>
  <c r="E33" i="110"/>
  <c r="Q18" i="110"/>
  <c r="AJ4" i="115"/>
  <c r="D7" i="124"/>
  <c r="H11" i="124"/>
  <c r="AL3" i="115"/>
  <c r="E28" i="110"/>
  <c r="E4" i="110"/>
  <c r="AJ10" i="115"/>
  <c r="AJ5" i="115"/>
  <c r="B5" i="123"/>
  <c r="E24" i="110"/>
  <c r="I23" i="110"/>
  <c r="AJ7" i="115" s="1"/>
  <c r="G17" i="15"/>
  <c r="G15" i="15"/>
  <c r="S1" i="4"/>
  <c r="I14" i="119" l="1"/>
  <c r="B57" i="50"/>
  <c r="D33" i="115"/>
  <c r="B33" i="115" s="1"/>
  <c r="D9" i="120" s="1"/>
  <c r="D4" i="115"/>
  <c r="B4" i="115" s="1"/>
  <c r="D129" i="120" s="1"/>
  <c r="D3" i="115"/>
  <c r="B3" i="115" s="1"/>
  <c r="D4" i="120" s="1"/>
  <c r="D34" i="115"/>
  <c r="B34" i="115" s="1"/>
  <c r="D124" i="120" s="1"/>
  <c r="D5" i="115"/>
  <c r="B5" i="115" s="1"/>
  <c r="D68" i="120" s="1"/>
  <c r="D32" i="115"/>
  <c r="B32" i="115" s="1"/>
  <c r="D60" i="120" s="1"/>
  <c r="I15" i="119"/>
  <c r="D31" i="115"/>
  <c r="B31" i="115" s="1"/>
  <c r="D73" i="120" s="1"/>
  <c r="D7" i="115"/>
  <c r="B7" i="115" s="1"/>
  <c r="D36" i="120" s="1"/>
  <c r="D6" i="115"/>
  <c r="B6" i="115" s="1"/>
  <c r="D65" i="120" s="1"/>
  <c r="D8" i="115"/>
  <c r="B8" i="115" s="1"/>
  <c r="D97" i="120" s="1"/>
  <c r="D29" i="115"/>
  <c r="B29" i="115" s="1"/>
  <c r="D41" i="120" s="1"/>
  <c r="D30" i="115"/>
  <c r="B30" i="115" s="1"/>
  <c r="D92" i="120" s="1"/>
  <c r="E16" i="119"/>
  <c r="D37" i="115"/>
  <c r="D38" i="115"/>
  <c r="D28" i="115"/>
  <c r="B28" i="115" s="1"/>
  <c r="D28" i="120" s="1"/>
  <c r="D65" i="115"/>
  <c r="D64" i="115"/>
  <c r="D24" i="115"/>
  <c r="B24" i="115" s="1"/>
  <c r="D44" i="120" s="1"/>
  <c r="D41" i="115"/>
  <c r="D45" i="115"/>
  <c r="D44" i="115"/>
  <c r="D56" i="115"/>
  <c r="D18" i="115"/>
  <c r="B18" i="115" s="1"/>
  <c r="D17" i="120" s="1"/>
  <c r="D52" i="115"/>
  <c r="D21" i="115"/>
  <c r="B21" i="115" s="1"/>
  <c r="D57" i="120" s="1"/>
  <c r="D27" i="115"/>
  <c r="B27" i="115" s="1"/>
  <c r="D105" i="120" s="1"/>
  <c r="D60" i="115"/>
  <c r="D54" i="115"/>
  <c r="D12" i="115"/>
  <c r="B12" i="115" s="1"/>
  <c r="D113" i="120" s="1"/>
  <c r="D14" i="115"/>
  <c r="B14" i="115" s="1"/>
  <c r="D49" i="120" s="1"/>
  <c r="D49" i="115"/>
  <c r="D9" i="115"/>
  <c r="B9" i="115" s="1"/>
  <c r="D100" i="120" s="1"/>
  <c r="D40" i="115"/>
  <c r="D53" i="115"/>
  <c r="D23" i="115"/>
  <c r="B23" i="115" s="1"/>
  <c r="D89" i="120" s="1"/>
  <c r="D39" i="115"/>
  <c r="D11" i="115"/>
  <c r="B11" i="115" s="1"/>
  <c r="D20" i="120" s="1"/>
  <c r="D58" i="115"/>
  <c r="D43" i="115"/>
  <c r="D62" i="115"/>
  <c r="D51" i="115"/>
  <c r="D48" i="115"/>
  <c r="D57" i="115"/>
  <c r="D25" i="115"/>
  <c r="B25" i="115" s="1"/>
  <c r="D25" i="120" s="1"/>
  <c r="D16" i="115"/>
  <c r="B16" i="115" s="1"/>
  <c r="D81" i="120" s="1"/>
  <c r="D36" i="115"/>
  <c r="D13" i="115"/>
  <c r="B13" i="115" s="1"/>
  <c r="D84" i="120" s="1"/>
  <c r="D63" i="115"/>
  <c r="D61" i="115"/>
  <c r="D26" i="115"/>
  <c r="B26" i="115" s="1"/>
  <c r="D108" i="120" s="1"/>
  <c r="D66" i="115"/>
  <c r="D42" i="115"/>
  <c r="D20" i="115"/>
  <c r="B20" i="115" s="1"/>
  <c r="D12" i="120" s="1"/>
  <c r="D55" i="115"/>
  <c r="D15" i="115"/>
  <c r="B15" i="115" s="1"/>
  <c r="D52" i="120" s="1"/>
  <c r="D35" i="115"/>
  <c r="D50" i="115"/>
  <c r="D22" i="115"/>
  <c r="B22" i="115" s="1"/>
  <c r="D77" i="120" s="1"/>
  <c r="D17" i="115"/>
  <c r="B17" i="115" s="1"/>
  <c r="D116" i="120" s="1"/>
  <c r="D19" i="115"/>
  <c r="B19" i="115" s="1"/>
  <c r="D121" i="120" s="1"/>
  <c r="D10" i="115"/>
  <c r="B10" i="115" s="1"/>
  <c r="D33" i="120" s="1"/>
  <c r="D46" i="115"/>
  <c r="D59" i="115"/>
  <c r="D47" i="115"/>
  <c r="I7" i="119"/>
  <c r="X5" i="115" s="1"/>
  <c r="E9" i="119"/>
  <c r="AN3" i="115"/>
  <c r="M10" i="119" s="1"/>
  <c r="E4" i="119"/>
  <c r="E17" i="119"/>
  <c r="I17" i="118"/>
  <c r="E12" i="119"/>
  <c r="I6" i="119"/>
  <c r="AJ8" i="115"/>
  <c r="E8" i="119" s="1"/>
  <c r="M11" i="119"/>
  <c r="C4" i="123"/>
  <c r="E5" i="119"/>
  <c r="I16" i="118"/>
  <c r="G20" i="15"/>
  <c r="G24" i="15"/>
  <c r="G22" i="15"/>
  <c r="R1" i="5"/>
  <c r="E3" i="120" l="1"/>
  <c r="G83" i="75"/>
  <c r="G80" i="75"/>
  <c r="G68" i="75"/>
  <c r="G87" i="75"/>
  <c r="G91" i="75"/>
  <c r="G113" i="75"/>
  <c r="G98" i="75"/>
  <c r="G70" i="75"/>
  <c r="G77" i="75"/>
  <c r="G129" i="75"/>
  <c r="G84" i="75"/>
  <c r="G111" i="75"/>
  <c r="G71" i="75"/>
  <c r="G122" i="75"/>
  <c r="G118" i="75"/>
  <c r="G79" i="75"/>
  <c r="G112" i="75"/>
  <c r="G123" i="75"/>
  <c r="G63" i="75"/>
  <c r="G94" i="75"/>
  <c r="G121" i="75"/>
  <c r="G92" i="75"/>
  <c r="G103" i="75"/>
  <c r="G67" i="75"/>
  <c r="G108" i="75"/>
  <c r="G97" i="75"/>
  <c r="G128" i="75"/>
  <c r="G100" i="75"/>
  <c r="G88" i="75"/>
  <c r="G96" i="75"/>
  <c r="G64" i="75"/>
  <c r="G106" i="75"/>
  <c r="G89" i="75"/>
  <c r="G126" i="75"/>
  <c r="G125" i="75"/>
  <c r="G73" i="75"/>
  <c r="G82" i="75"/>
  <c r="G81" i="75"/>
  <c r="G120" i="75"/>
  <c r="G110" i="75"/>
  <c r="G76" i="75"/>
  <c r="G90" i="75"/>
  <c r="G102" i="75"/>
  <c r="G117" i="75"/>
  <c r="G114" i="75"/>
  <c r="G107" i="75"/>
  <c r="G66" i="75"/>
  <c r="G130" i="75"/>
  <c r="G78" i="75"/>
  <c r="G101" i="75"/>
  <c r="G127" i="75"/>
  <c r="G95" i="75"/>
  <c r="G69" i="75"/>
  <c r="G124" i="75"/>
  <c r="G116" i="75"/>
  <c r="G62" i="75"/>
  <c r="G104" i="75"/>
  <c r="G72" i="75"/>
  <c r="H6" i="120"/>
  <c r="G115" i="75"/>
  <c r="G99" i="75"/>
  <c r="G119" i="75"/>
  <c r="G74" i="75"/>
  <c r="G93" i="75"/>
  <c r="G109" i="75"/>
  <c r="G65" i="75"/>
  <c r="G86" i="75"/>
  <c r="G75" i="75"/>
  <c r="G105" i="75"/>
  <c r="G85" i="75"/>
  <c r="X4" i="115"/>
  <c r="E59" i="120"/>
  <c r="H62" i="120"/>
  <c r="BG32" i="115" s="1"/>
  <c r="D32" i="109" s="1"/>
  <c r="H127" i="120"/>
  <c r="BG4" i="115" s="1"/>
  <c r="E127" i="120"/>
  <c r="E123" i="120"/>
  <c r="H126" i="120"/>
  <c r="H70" i="120"/>
  <c r="BG5" i="115" s="1"/>
  <c r="D36" i="109" s="1"/>
  <c r="E67" i="120"/>
  <c r="E7" i="120"/>
  <c r="H7" i="120"/>
  <c r="BG33" i="115" s="1"/>
  <c r="D5" i="109" s="1"/>
  <c r="H63" i="120"/>
  <c r="E63" i="120"/>
  <c r="E91" i="120"/>
  <c r="H94" i="120"/>
  <c r="H38" i="120"/>
  <c r="E35" i="120"/>
  <c r="E95" i="120"/>
  <c r="H95" i="120"/>
  <c r="BG8" i="115" s="1"/>
  <c r="D49" i="109" s="1"/>
  <c r="H39" i="120"/>
  <c r="BG29" i="115" s="1"/>
  <c r="D21" i="109" s="1"/>
  <c r="E39" i="120"/>
  <c r="E71" i="120"/>
  <c r="H71" i="120"/>
  <c r="E115" i="120"/>
  <c r="H118" i="120"/>
  <c r="E83" i="120"/>
  <c r="H86" i="120"/>
  <c r="E15" i="120"/>
  <c r="H15" i="120"/>
  <c r="BG18" i="115" s="1"/>
  <c r="D9" i="109" s="1"/>
  <c r="H110" i="120"/>
  <c r="E107" i="120"/>
  <c r="H103" i="120"/>
  <c r="BG27" i="115" s="1"/>
  <c r="D53" i="109" s="1"/>
  <c r="E103" i="120"/>
  <c r="E119" i="120"/>
  <c r="H119" i="120"/>
  <c r="BG19" i="115" s="1"/>
  <c r="D61" i="109" s="1"/>
  <c r="H23" i="120"/>
  <c r="BG25" i="115" s="1"/>
  <c r="D13" i="109" s="1"/>
  <c r="E23" i="120"/>
  <c r="E99" i="120"/>
  <c r="H102" i="120"/>
  <c r="H54" i="120"/>
  <c r="E51" i="120"/>
  <c r="H87" i="120"/>
  <c r="BG23" i="115" s="1"/>
  <c r="D45" i="109" s="1"/>
  <c r="E87" i="120"/>
  <c r="H30" i="120"/>
  <c r="E27" i="120"/>
  <c r="H78" i="120"/>
  <c r="E75" i="120"/>
  <c r="H47" i="120"/>
  <c r="BG14" i="115" s="1"/>
  <c r="D25" i="109" s="1"/>
  <c r="E47" i="120"/>
  <c r="E43" i="120"/>
  <c r="H46" i="120"/>
  <c r="H31" i="120"/>
  <c r="BG10" i="115" s="1"/>
  <c r="D17" i="109" s="1"/>
  <c r="E31" i="120"/>
  <c r="G56" i="75"/>
  <c r="G25" i="75"/>
  <c r="G13" i="75"/>
  <c r="G15" i="75"/>
  <c r="G21" i="75"/>
  <c r="G37" i="75"/>
  <c r="G20" i="75"/>
  <c r="G57" i="75"/>
  <c r="G18" i="75"/>
  <c r="G52" i="75"/>
  <c r="G44" i="75"/>
  <c r="G24" i="75"/>
  <c r="G26" i="75"/>
  <c r="G60" i="75"/>
  <c r="G11" i="75"/>
  <c r="G50" i="75"/>
  <c r="G45" i="75"/>
  <c r="G34" i="75"/>
  <c r="G36" i="75"/>
  <c r="G9" i="75"/>
  <c r="G30" i="75"/>
  <c r="G49" i="75"/>
  <c r="G46" i="75"/>
  <c r="G58" i="75"/>
  <c r="G54" i="75"/>
  <c r="H14" i="120"/>
  <c r="G14" i="75"/>
  <c r="G43" i="75"/>
  <c r="G4" i="75"/>
  <c r="G12" i="75"/>
  <c r="G17" i="75"/>
  <c r="G19" i="75"/>
  <c r="G59" i="75"/>
  <c r="G32" i="75"/>
  <c r="G3" i="75"/>
  <c r="G61" i="75"/>
  <c r="G35" i="75"/>
  <c r="G10" i="75"/>
  <c r="G42" i="75"/>
  <c r="G39" i="75"/>
  <c r="G38" i="75"/>
  <c r="G47" i="75"/>
  <c r="G48" i="75"/>
  <c r="G8" i="75"/>
  <c r="G31" i="75"/>
  <c r="G6" i="75"/>
  <c r="G23" i="75"/>
  <c r="G29" i="75"/>
  <c r="G55" i="75"/>
  <c r="G41" i="75"/>
  <c r="E11" i="120"/>
  <c r="G53" i="75"/>
  <c r="G40" i="75"/>
  <c r="G27" i="75"/>
  <c r="G5" i="75"/>
  <c r="G16" i="75"/>
  <c r="G33" i="75"/>
  <c r="G51" i="75"/>
  <c r="G28" i="75"/>
  <c r="G22" i="75"/>
  <c r="G7" i="75"/>
  <c r="H79" i="120"/>
  <c r="BG16" i="115" s="1"/>
  <c r="D41" i="109" s="1"/>
  <c r="E79" i="120"/>
  <c r="H22" i="120"/>
  <c r="E19" i="120"/>
  <c r="H111" i="120"/>
  <c r="BG12" i="115" s="1"/>
  <c r="D57" i="109" s="1"/>
  <c r="E111" i="120"/>
  <c r="H55" i="120"/>
  <c r="BG21" i="115" s="1"/>
  <c r="D29" i="109" s="1"/>
  <c r="E55" i="120"/>
  <c r="X6" i="115"/>
  <c r="E8" i="118" s="1"/>
  <c r="E13" i="119"/>
  <c r="X3" i="115"/>
  <c r="C5" i="123"/>
  <c r="Z3" i="115"/>
  <c r="Z4" i="115"/>
  <c r="G21" i="15"/>
  <c r="G23" i="15"/>
  <c r="S1" i="5"/>
  <c r="E9" i="118" l="1"/>
  <c r="BG34" i="115"/>
  <c r="D64" i="109" s="1"/>
  <c r="L123" i="120"/>
  <c r="BI4" i="115" s="1"/>
  <c r="I125" i="120"/>
  <c r="L10" i="120"/>
  <c r="BI3" i="115" s="1"/>
  <c r="I5" i="120"/>
  <c r="BG3" i="115"/>
  <c r="L74" i="120"/>
  <c r="BI5" i="115" s="1"/>
  <c r="I69" i="120"/>
  <c r="BG31" i="115"/>
  <c r="D37" i="109" s="1"/>
  <c r="I93" i="120"/>
  <c r="L91" i="120"/>
  <c r="BI8" i="115" s="1"/>
  <c r="BG30" i="115"/>
  <c r="D48" i="109" s="1"/>
  <c r="BG7" i="115"/>
  <c r="D20" i="109" s="1"/>
  <c r="L42" i="120"/>
  <c r="BI7" i="115" s="1"/>
  <c r="I37" i="120"/>
  <c r="L59" i="120"/>
  <c r="BI6" i="115" s="1"/>
  <c r="I61" i="120"/>
  <c r="BG6" i="115"/>
  <c r="D33" i="109" s="1"/>
  <c r="E5" i="118"/>
  <c r="L11" i="120"/>
  <c r="BG20" i="115"/>
  <c r="D8" i="109" s="1"/>
  <c r="I13" i="120"/>
  <c r="BG24" i="115"/>
  <c r="D24" i="109" s="1"/>
  <c r="E23" i="109" s="1"/>
  <c r="I45" i="120"/>
  <c r="L43" i="120"/>
  <c r="BG9" i="115"/>
  <c r="D52" i="109" s="1"/>
  <c r="I101" i="120"/>
  <c r="L106" i="120"/>
  <c r="I85" i="120"/>
  <c r="BG13" i="115"/>
  <c r="D44" i="109" s="1"/>
  <c r="L90" i="120"/>
  <c r="BG22" i="115"/>
  <c r="D40" i="109" s="1"/>
  <c r="L75" i="120"/>
  <c r="I77" i="120"/>
  <c r="BG26" i="115"/>
  <c r="D56" i="109" s="1"/>
  <c r="H55" i="109" s="1"/>
  <c r="AT12" i="115" s="1"/>
  <c r="D29" i="110" s="1"/>
  <c r="I109" i="120"/>
  <c r="L107" i="120"/>
  <c r="BI12" i="115" s="1"/>
  <c r="L26" i="120"/>
  <c r="BG11" i="115"/>
  <c r="D12" i="109" s="1"/>
  <c r="I21" i="120"/>
  <c r="BG17" i="115"/>
  <c r="D60" i="109" s="1"/>
  <c r="H62" i="109" s="1"/>
  <c r="L122" i="120"/>
  <c r="I117" i="120"/>
  <c r="I29" i="120"/>
  <c r="L27" i="120"/>
  <c r="BG28" i="115"/>
  <c r="D16" i="109" s="1"/>
  <c r="H15" i="109" s="1"/>
  <c r="AT10" i="115" s="1"/>
  <c r="D9" i="110" s="1"/>
  <c r="BG15" i="115"/>
  <c r="D28" i="109" s="1"/>
  <c r="I53" i="120"/>
  <c r="L58" i="120"/>
  <c r="E4" i="118"/>
  <c r="I7" i="118"/>
  <c r="D4" i="123"/>
  <c r="I6" i="118"/>
  <c r="G30" i="15"/>
  <c r="G28" i="15"/>
  <c r="R1" i="6"/>
  <c r="G26" i="15"/>
  <c r="D65" i="109" l="1"/>
  <c r="H63" i="109" s="1"/>
  <c r="D4" i="109"/>
  <c r="E31" i="109"/>
  <c r="H31" i="109"/>
  <c r="AT6" i="115" s="1"/>
  <c r="D17" i="110" s="1"/>
  <c r="E19" i="109"/>
  <c r="H22" i="109"/>
  <c r="AT7" i="115" s="1"/>
  <c r="H38" i="109"/>
  <c r="AT5" i="115" s="1"/>
  <c r="D20" i="110" s="1"/>
  <c r="E35" i="109"/>
  <c r="H47" i="109"/>
  <c r="AT8" i="115" s="1"/>
  <c r="E47" i="109"/>
  <c r="H23" i="109"/>
  <c r="AT14" i="115" s="1"/>
  <c r="E59" i="109"/>
  <c r="H7" i="109"/>
  <c r="E7" i="109"/>
  <c r="H14" i="109"/>
  <c r="E11" i="109"/>
  <c r="H39" i="109"/>
  <c r="E39" i="109"/>
  <c r="E15" i="109"/>
  <c r="AT17" i="115"/>
  <c r="D32" i="110" s="1"/>
  <c r="E43" i="109"/>
  <c r="H46" i="109"/>
  <c r="H54" i="109"/>
  <c r="E51" i="109"/>
  <c r="BI15" i="115"/>
  <c r="P51" i="120"/>
  <c r="BK6" i="115" s="1"/>
  <c r="M57" i="120"/>
  <c r="BI9" i="115"/>
  <c r="BI10" i="115"/>
  <c r="M73" i="120"/>
  <c r="P82" i="120"/>
  <c r="BI16" i="115"/>
  <c r="BI14" i="115"/>
  <c r="M41" i="120"/>
  <c r="P50" i="120"/>
  <c r="M105" i="120"/>
  <c r="P114" i="120"/>
  <c r="M9" i="120"/>
  <c r="P18" i="120"/>
  <c r="BI18" i="115"/>
  <c r="H30" i="109"/>
  <c r="E27" i="109"/>
  <c r="BI17" i="115"/>
  <c r="M121" i="120"/>
  <c r="P115" i="120"/>
  <c r="BK4" i="115" s="1"/>
  <c r="P19" i="120"/>
  <c r="BK10" i="115" s="1"/>
  <c r="BI11" i="115"/>
  <c r="M25" i="120"/>
  <c r="BI13" i="115"/>
  <c r="M89" i="120"/>
  <c r="P83" i="120"/>
  <c r="BK8" i="115" s="1"/>
  <c r="E55" i="109"/>
  <c r="D5" i="123"/>
  <c r="G27" i="15"/>
  <c r="S1" i="6"/>
  <c r="G29" i="15"/>
  <c r="E63" i="109" l="1"/>
  <c r="H47" i="75"/>
  <c r="H44" i="75"/>
  <c r="H52" i="75"/>
  <c r="H59" i="75"/>
  <c r="H6" i="75"/>
  <c r="H10" i="75"/>
  <c r="H45" i="75"/>
  <c r="H43" i="75"/>
  <c r="H23" i="75"/>
  <c r="H38" i="75"/>
  <c r="H54" i="75"/>
  <c r="H36" i="75"/>
  <c r="H58" i="75"/>
  <c r="H50" i="75"/>
  <c r="H39" i="75"/>
  <c r="H14" i="75"/>
  <c r="H7" i="75"/>
  <c r="H32" i="75"/>
  <c r="H24" i="75"/>
  <c r="H18" i="75"/>
  <c r="H15" i="75"/>
  <c r="H22" i="75"/>
  <c r="H51" i="75"/>
  <c r="H16" i="75"/>
  <c r="H30" i="75"/>
  <c r="H21" i="75"/>
  <c r="H17" i="75"/>
  <c r="H11" i="75"/>
  <c r="H37" i="75"/>
  <c r="H42" i="75"/>
  <c r="H20" i="75"/>
  <c r="AT4" i="115"/>
  <c r="D33" i="110" s="1"/>
  <c r="D17" i="56" s="1"/>
  <c r="I61" i="109"/>
  <c r="L59" i="109"/>
  <c r="AV4" i="115" s="1"/>
  <c r="H61" i="75"/>
  <c r="H41" i="75"/>
  <c r="H34" i="75"/>
  <c r="H55" i="75"/>
  <c r="H40" i="75"/>
  <c r="H53" i="75"/>
  <c r="H33" i="75"/>
  <c r="H13" i="75"/>
  <c r="H19" i="75"/>
  <c r="H48" i="75"/>
  <c r="H25" i="75"/>
  <c r="H31" i="75"/>
  <c r="H28" i="75"/>
  <c r="H102" i="75"/>
  <c r="H111" i="75"/>
  <c r="H68" i="75"/>
  <c r="H77" i="75"/>
  <c r="H125" i="75"/>
  <c r="E3" i="109"/>
  <c r="H87" i="75"/>
  <c r="H116" i="75"/>
  <c r="H127" i="75"/>
  <c r="H76" i="75"/>
  <c r="H128" i="75"/>
  <c r="H63" i="75"/>
  <c r="H65" i="75"/>
  <c r="H98" i="75"/>
  <c r="H93" i="75"/>
  <c r="H73" i="75"/>
  <c r="H103" i="75"/>
  <c r="H85" i="75"/>
  <c r="H96" i="75"/>
  <c r="H100" i="75"/>
  <c r="H117" i="75"/>
  <c r="H122" i="75"/>
  <c r="H118" i="75"/>
  <c r="H109" i="75"/>
  <c r="H114" i="75"/>
  <c r="H121" i="75"/>
  <c r="H75" i="75"/>
  <c r="H74" i="75"/>
  <c r="H112" i="75"/>
  <c r="H89" i="75"/>
  <c r="H84" i="75"/>
  <c r="H95" i="75"/>
  <c r="H108" i="75"/>
  <c r="H124" i="75"/>
  <c r="H119" i="75"/>
  <c r="H82" i="75"/>
  <c r="H91" i="75"/>
  <c r="H99" i="75"/>
  <c r="H123" i="75"/>
  <c r="H79" i="75"/>
  <c r="H129" i="75"/>
  <c r="H90" i="75"/>
  <c r="H67" i="75"/>
  <c r="H86" i="75"/>
  <c r="H64" i="75"/>
  <c r="H113" i="75"/>
  <c r="H107" i="75"/>
  <c r="H66" i="75"/>
  <c r="H88" i="75"/>
  <c r="H6" i="109"/>
  <c r="AT3" i="115" s="1"/>
  <c r="D4" i="110" s="1"/>
  <c r="H126" i="75"/>
  <c r="H97" i="75"/>
  <c r="H130" i="75"/>
  <c r="H69" i="75"/>
  <c r="H94" i="75"/>
  <c r="H105" i="75"/>
  <c r="H106" i="75"/>
  <c r="H101" i="75"/>
  <c r="H92" i="75"/>
  <c r="H110" i="75"/>
  <c r="H78" i="75"/>
  <c r="H83" i="75"/>
  <c r="H62" i="75"/>
  <c r="H81" i="75"/>
  <c r="H72" i="75"/>
  <c r="H120" i="75"/>
  <c r="H70" i="75"/>
  <c r="H104" i="75"/>
  <c r="H80" i="75"/>
  <c r="H71" i="75"/>
  <c r="H115" i="75"/>
  <c r="H4" i="75"/>
  <c r="H26" i="75"/>
  <c r="H60" i="75"/>
  <c r="H29" i="75"/>
  <c r="H27" i="75"/>
  <c r="H12" i="75"/>
  <c r="H3" i="75"/>
  <c r="H46" i="75"/>
  <c r="H49" i="75"/>
  <c r="H35" i="75"/>
  <c r="H9" i="75"/>
  <c r="H5" i="75"/>
  <c r="H57" i="75"/>
  <c r="H8" i="75"/>
  <c r="H56" i="75"/>
  <c r="L26" i="109"/>
  <c r="AV7" i="115" s="1"/>
  <c r="D25" i="110"/>
  <c r="D12" i="110"/>
  <c r="I21" i="109"/>
  <c r="BK7" i="115"/>
  <c r="Q49" i="120"/>
  <c r="T35" i="120"/>
  <c r="BM6" i="115" s="1"/>
  <c r="AT16" i="115"/>
  <c r="L42" i="109"/>
  <c r="I37" i="109"/>
  <c r="AT15" i="115"/>
  <c r="L27" i="109"/>
  <c r="AV6" i="115" s="1"/>
  <c r="I29" i="109"/>
  <c r="BK9" i="115"/>
  <c r="Q113" i="120"/>
  <c r="T99" i="120"/>
  <c r="BM4" i="115" s="1"/>
  <c r="I13" i="109"/>
  <c r="AT11" i="115"/>
  <c r="D8" i="110" s="1"/>
  <c r="L11" i="109"/>
  <c r="AV10" i="115" s="1"/>
  <c r="BK3" i="115"/>
  <c r="T34" i="120"/>
  <c r="Q17" i="120"/>
  <c r="T98" i="120"/>
  <c r="BK5" i="115"/>
  <c r="Q81" i="120"/>
  <c r="AT9" i="115"/>
  <c r="D28" i="110" s="1"/>
  <c r="I53" i="109"/>
  <c r="L58" i="109"/>
  <c r="I45" i="109"/>
  <c r="L43" i="109"/>
  <c r="AV8" i="115" s="1"/>
  <c r="AT13" i="115"/>
  <c r="AT18" i="115"/>
  <c r="D5" i="110" s="1"/>
  <c r="E4" i="123"/>
  <c r="G34" i="15"/>
  <c r="R1" i="7"/>
  <c r="G36" i="15"/>
  <c r="G32" i="15"/>
  <c r="H31" i="110" l="1"/>
  <c r="AI4" i="115" s="1"/>
  <c r="D17" i="119" s="1"/>
  <c r="E31" i="110"/>
  <c r="L10" i="109"/>
  <c r="P18" i="109" s="1"/>
  <c r="I5" i="109"/>
  <c r="P19" i="109"/>
  <c r="AX6" i="115" s="1"/>
  <c r="M25" i="109"/>
  <c r="E27" i="110"/>
  <c r="D16" i="56"/>
  <c r="H30" i="110"/>
  <c r="H7" i="110"/>
  <c r="D5" i="56"/>
  <c r="E7" i="110"/>
  <c r="BM3" i="115"/>
  <c r="X106" i="120"/>
  <c r="U33" i="120"/>
  <c r="X66" i="120"/>
  <c r="D4" i="56"/>
  <c r="E3" i="110"/>
  <c r="H6" i="110"/>
  <c r="AV9" i="115"/>
  <c r="P51" i="109"/>
  <c r="AX4" i="115" s="1"/>
  <c r="M57" i="109"/>
  <c r="D13" i="110"/>
  <c r="D24" i="110"/>
  <c r="U97" i="120"/>
  <c r="BM5" i="115"/>
  <c r="X67" i="120"/>
  <c r="BO4" i="115" s="1"/>
  <c r="X107" i="120"/>
  <c r="BO5" i="115" s="1"/>
  <c r="D21" i="110"/>
  <c r="D16" i="110"/>
  <c r="M41" i="109"/>
  <c r="P50" i="109"/>
  <c r="AV5" i="115"/>
  <c r="E5" i="123"/>
  <c r="G35" i="15"/>
  <c r="S1" i="7"/>
  <c r="G33" i="15"/>
  <c r="AV3" i="115" l="1"/>
  <c r="M9" i="109"/>
  <c r="E3" i="56"/>
  <c r="D8" i="56"/>
  <c r="E11" i="110"/>
  <c r="H14" i="110"/>
  <c r="I44" i="75"/>
  <c r="I49" i="75"/>
  <c r="I98" i="75"/>
  <c r="I80" i="75"/>
  <c r="I107" i="75"/>
  <c r="I28" i="75"/>
  <c r="I36" i="75"/>
  <c r="I84" i="75"/>
  <c r="I94" i="75"/>
  <c r="I86" i="75"/>
  <c r="I57" i="75"/>
  <c r="I101" i="75"/>
  <c r="I33" i="75"/>
  <c r="I3" i="75"/>
  <c r="I125" i="75"/>
  <c r="I110" i="75"/>
  <c r="I115" i="75"/>
  <c r="I5" i="110"/>
  <c r="AI10" i="115"/>
  <c r="D5" i="119" s="1"/>
  <c r="E15" i="110"/>
  <c r="D9" i="56"/>
  <c r="H15" i="110"/>
  <c r="AI6" i="115" s="1"/>
  <c r="D9" i="119" s="1"/>
  <c r="I6" i="75"/>
  <c r="I61" i="75"/>
  <c r="I119" i="75"/>
  <c r="I108" i="75"/>
  <c r="I87" i="75"/>
  <c r="I64" i="75"/>
  <c r="I27" i="75"/>
  <c r="I15" i="75"/>
  <c r="I70" i="75"/>
  <c r="I39" i="75"/>
  <c r="I26" i="75"/>
  <c r="I37" i="75"/>
  <c r="I21" i="75"/>
  <c r="I118" i="75"/>
  <c r="I126" i="75"/>
  <c r="I90" i="75"/>
  <c r="I81" i="75"/>
  <c r="I106" i="75"/>
  <c r="I48" i="75"/>
  <c r="I7" i="75"/>
  <c r="I104" i="75"/>
  <c r="I103" i="75"/>
  <c r="I91" i="75"/>
  <c r="I46" i="75"/>
  <c r="I22" i="75"/>
  <c r="I11" i="75"/>
  <c r="I23" i="75"/>
  <c r="I85" i="75"/>
  <c r="I99" i="75"/>
  <c r="I102" i="75"/>
  <c r="I73" i="75"/>
  <c r="Y105" i="120"/>
  <c r="BO6" i="115"/>
  <c r="AX3" i="115"/>
  <c r="Q17" i="109"/>
  <c r="T34" i="109"/>
  <c r="X34" i="109" s="1"/>
  <c r="BB3" i="115" s="1"/>
  <c r="T56" i="109"/>
  <c r="L27" i="110"/>
  <c r="AK4" i="115" s="1"/>
  <c r="AI9" i="115"/>
  <c r="D16" i="119" s="1"/>
  <c r="E15" i="119" s="1"/>
  <c r="I29" i="110"/>
  <c r="E19" i="110"/>
  <c r="D12" i="56"/>
  <c r="H22" i="110"/>
  <c r="I42" i="75"/>
  <c r="I32" i="75"/>
  <c r="I40" i="75"/>
  <c r="I120" i="75"/>
  <c r="I67" i="75"/>
  <c r="I116" i="75"/>
  <c r="I95" i="75"/>
  <c r="I18" i="75"/>
  <c r="I52" i="75"/>
  <c r="I77" i="75"/>
  <c r="I8" i="75"/>
  <c r="I10" i="75"/>
  <c r="I9" i="75"/>
  <c r="I38" i="75"/>
  <c r="I79" i="75"/>
  <c r="I78" i="75"/>
  <c r="I121" i="75"/>
  <c r="I109" i="75"/>
  <c r="I129" i="75"/>
  <c r="I45" i="75"/>
  <c r="I50" i="75"/>
  <c r="I62" i="75"/>
  <c r="I122" i="75"/>
  <c r="I69" i="75"/>
  <c r="I60" i="75"/>
  <c r="I51" i="75"/>
  <c r="I16" i="75"/>
  <c r="I5" i="75"/>
  <c r="I105" i="75"/>
  <c r="I76" i="75"/>
  <c r="I65" i="75"/>
  <c r="I127" i="75"/>
  <c r="H6" i="56"/>
  <c r="H22" i="56"/>
  <c r="E15" i="56"/>
  <c r="H31" i="56"/>
  <c r="H15" i="56"/>
  <c r="I30" i="75"/>
  <c r="I25" i="75"/>
  <c r="I128" i="75"/>
  <c r="I71" i="75"/>
  <c r="I14" i="75"/>
  <c r="I124" i="75"/>
  <c r="I20" i="75"/>
  <c r="I31" i="75"/>
  <c r="I112" i="75"/>
  <c r="I53" i="75"/>
  <c r="I111" i="75"/>
  <c r="I74" i="75"/>
  <c r="I19" i="75"/>
  <c r="I54" i="75"/>
  <c r="I88" i="75"/>
  <c r="AI3" i="115"/>
  <c r="D4" i="119" s="1"/>
  <c r="L10" i="110"/>
  <c r="I35" i="75"/>
  <c r="T57" i="109"/>
  <c r="AX5" i="115"/>
  <c r="Q49" i="109"/>
  <c r="T35" i="109"/>
  <c r="D13" i="56"/>
  <c r="H23" i="110"/>
  <c r="AI8" i="115" s="1"/>
  <c r="D13" i="119" s="1"/>
  <c r="E23" i="110"/>
  <c r="I4" i="75"/>
  <c r="I13" i="75"/>
  <c r="I41" i="75"/>
  <c r="I68" i="75"/>
  <c r="I83" i="75"/>
  <c r="I123" i="75"/>
  <c r="I66" i="75"/>
  <c r="I24" i="75"/>
  <c r="I17" i="75"/>
  <c r="I63" i="75"/>
  <c r="I29" i="75"/>
  <c r="I58" i="75"/>
  <c r="I56" i="75"/>
  <c r="I34" i="75"/>
  <c r="I82" i="75"/>
  <c r="I114" i="75"/>
  <c r="I75" i="75"/>
  <c r="I72" i="75"/>
  <c r="I43" i="75"/>
  <c r="I12" i="75"/>
  <c r="I89" i="75"/>
  <c r="I100" i="75"/>
  <c r="I96" i="75"/>
  <c r="I130" i="75"/>
  <c r="I55" i="75"/>
  <c r="I59" i="75"/>
  <c r="I47" i="75"/>
  <c r="I97" i="75"/>
  <c r="I117" i="75"/>
  <c r="I92" i="75"/>
  <c r="I113" i="75"/>
  <c r="I93" i="75"/>
  <c r="BO3" i="115"/>
  <c r="Y65" i="120"/>
  <c r="F4" i="123"/>
  <c r="G42" i="15"/>
  <c r="G40" i="15"/>
  <c r="R1" i="8"/>
  <c r="G38" i="15"/>
  <c r="X56" i="109" l="1"/>
  <c r="BD5" i="115" s="1"/>
  <c r="AZ4" i="115"/>
  <c r="X35" i="109"/>
  <c r="BB4" i="115" s="1"/>
  <c r="D9" i="55"/>
  <c r="D4" i="55"/>
  <c r="H14" i="56"/>
  <c r="L11" i="56" s="1"/>
  <c r="P11" i="56" s="1"/>
  <c r="AE12" i="115" s="1"/>
  <c r="I12" i="115" s="1"/>
  <c r="AI5" i="115"/>
  <c r="D12" i="119" s="1"/>
  <c r="L26" i="110"/>
  <c r="I21" i="110"/>
  <c r="H15" i="119"/>
  <c r="W4" i="115" s="1"/>
  <c r="H30" i="56"/>
  <c r="E11" i="56"/>
  <c r="AI7" i="115"/>
  <c r="D8" i="119" s="1"/>
  <c r="L11" i="110"/>
  <c r="AK6" i="115" s="1"/>
  <c r="I13" i="110"/>
  <c r="H6" i="119"/>
  <c r="W3" i="115" s="1"/>
  <c r="E3" i="119"/>
  <c r="AK3" i="115"/>
  <c r="AZ6" i="115"/>
  <c r="U55" i="109"/>
  <c r="AZ5" i="115"/>
  <c r="X57" i="109"/>
  <c r="BD6" i="115" s="1"/>
  <c r="U33" i="109"/>
  <c r="AZ3" i="115"/>
  <c r="H23" i="56"/>
  <c r="L34" i="56" s="1"/>
  <c r="P35" i="56" s="1"/>
  <c r="AE18" i="115" s="1"/>
  <c r="I18" i="115" s="1"/>
  <c r="B17" i="116" s="1"/>
  <c r="F17" i="116" s="1"/>
  <c r="C17" i="116" s="1"/>
  <c r="E7" i="56"/>
  <c r="H7" i="56"/>
  <c r="L18" i="56" s="1"/>
  <c r="F5" i="123"/>
  <c r="G41" i="15"/>
  <c r="S1" i="8"/>
  <c r="G39" i="15"/>
  <c r="P19" i="56" l="1"/>
  <c r="AE14" i="115" s="1"/>
  <c r="I14" i="115" s="1"/>
  <c r="B13" i="116" s="1"/>
  <c r="F13" i="116" s="1"/>
  <c r="C13" i="116" s="1"/>
  <c r="I13" i="56"/>
  <c r="L19" i="56"/>
  <c r="J116" i="75"/>
  <c r="J45" i="75"/>
  <c r="P32" i="110"/>
  <c r="J35" i="75"/>
  <c r="J40" i="75"/>
  <c r="I21" i="56"/>
  <c r="M9" i="110"/>
  <c r="I5" i="56"/>
  <c r="P18" i="110"/>
  <c r="J99" i="75"/>
  <c r="D5" i="55"/>
  <c r="E7" i="119"/>
  <c r="H7" i="119"/>
  <c r="I5" i="119" s="1"/>
  <c r="J109" i="75"/>
  <c r="J70" i="75"/>
  <c r="J32" i="75"/>
  <c r="J84" i="75"/>
  <c r="J97" i="75"/>
  <c r="J129" i="75"/>
  <c r="J119" i="75"/>
  <c r="J10" i="75"/>
  <c r="J93" i="75"/>
  <c r="J80" i="75"/>
  <c r="J49" i="75"/>
  <c r="J9" i="75"/>
  <c r="J78" i="75"/>
  <c r="J46" i="75"/>
  <c r="J66" i="75"/>
  <c r="J64" i="75"/>
  <c r="J86" i="75"/>
  <c r="J87" i="75"/>
  <c r="J74" i="75"/>
  <c r="J67" i="75"/>
  <c r="J95" i="75"/>
  <c r="J8" i="75"/>
  <c r="J14" i="75"/>
  <c r="J56" i="75"/>
  <c r="J26" i="75"/>
  <c r="J48" i="75"/>
  <c r="J125" i="75"/>
  <c r="J62" i="75"/>
  <c r="J61" i="75"/>
  <c r="J101" i="75"/>
  <c r="J44" i="75"/>
  <c r="J69" i="75"/>
  <c r="J107" i="75"/>
  <c r="J126" i="75"/>
  <c r="J17" i="75"/>
  <c r="J38" i="75"/>
  <c r="J102" i="75"/>
  <c r="J5" i="75"/>
  <c r="J34" i="75"/>
  <c r="J21" i="75"/>
  <c r="J54" i="75"/>
  <c r="J13" i="75"/>
  <c r="J19" i="75"/>
  <c r="J55" i="75"/>
  <c r="J75" i="75"/>
  <c r="J29" i="75"/>
  <c r="J24" i="75"/>
  <c r="J30" i="75"/>
  <c r="J63" i="75"/>
  <c r="J57" i="75"/>
  <c r="J12" i="75"/>
  <c r="J42" i="75"/>
  <c r="J120" i="75"/>
  <c r="J72" i="75"/>
  <c r="J121" i="75"/>
  <c r="J96" i="75"/>
  <c r="J28" i="75"/>
  <c r="J7" i="75"/>
  <c r="J71" i="75"/>
  <c r="J79" i="75"/>
  <c r="J100" i="75"/>
  <c r="J108" i="75"/>
  <c r="J37" i="75"/>
  <c r="J123" i="75"/>
  <c r="J122" i="75"/>
  <c r="J53" i="75"/>
  <c r="J50" i="75"/>
  <c r="J16" i="75"/>
  <c r="J124" i="75"/>
  <c r="J6" i="75"/>
  <c r="J60" i="75"/>
  <c r="J114" i="75"/>
  <c r="J88" i="75"/>
  <c r="J83" i="75"/>
  <c r="J115" i="75"/>
  <c r="J33" i="75"/>
  <c r="J90" i="75"/>
  <c r="J85" i="75"/>
  <c r="J105" i="75"/>
  <c r="J128" i="75"/>
  <c r="J65" i="75"/>
  <c r="J73" i="75"/>
  <c r="J76" i="75"/>
  <c r="J43" i="75"/>
  <c r="J4" i="75"/>
  <c r="J52" i="75"/>
  <c r="J98" i="75"/>
  <c r="J41" i="75"/>
  <c r="J22" i="75"/>
  <c r="J130" i="75"/>
  <c r="J117" i="75"/>
  <c r="J59" i="75"/>
  <c r="J18" i="75"/>
  <c r="J23" i="75"/>
  <c r="J77" i="75"/>
  <c r="J113" i="75"/>
  <c r="J11" i="75"/>
  <c r="J103" i="75"/>
  <c r="J25" i="75"/>
  <c r="J94" i="75"/>
  <c r="J81" i="75"/>
  <c r="J51" i="75"/>
  <c r="J106" i="75"/>
  <c r="J27" i="75"/>
  <c r="L10" i="56"/>
  <c r="L26" i="56"/>
  <c r="P26" i="56" s="1"/>
  <c r="AE15" i="115" s="1"/>
  <c r="I15" i="115" s="1"/>
  <c r="B14" i="116" s="1"/>
  <c r="F14" i="116" s="1"/>
  <c r="C14" i="116" s="1"/>
  <c r="J68" i="75"/>
  <c r="J118" i="75"/>
  <c r="J36" i="75"/>
  <c r="J3" i="75"/>
  <c r="J104" i="75"/>
  <c r="J58" i="75"/>
  <c r="L27" i="56"/>
  <c r="P27" i="56" s="1"/>
  <c r="AE16" i="115" s="1"/>
  <c r="I16" i="115" s="1"/>
  <c r="B15" i="116" s="1"/>
  <c r="F15" i="116" s="1"/>
  <c r="C15" i="116" s="1"/>
  <c r="L35" i="56"/>
  <c r="I29" i="56"/>
  <c r="AK5" i="115"/>
  <c r="M25" i="110"/>
  <c r="P33" i="110"/>
  <c r="P19" i="110"/>
  <c r="J82" i="75"/>
  <c r="J110" i="75"/>
  <c r="J91" i="75"/>
  <c r="J47" i="75"/>
  <c r="J15" i="75"/>
  <c r="J89" i="75"/>
  <c r="J127" i="75"/>
  <c r="J112" i="75"/>
  <c r="J111" i="75"/>
  <c r="J92" i="75"/>
  <c r="J39" i="75"/>
  <c r="J20" i="75"/>
  <c r="E11" i="119"/>
  <c r="H14" i="119"/>
  <c r="D8" i="55"/>
  <c r="J31" i="75"/>
  <c r="D4" i="118"/>
  <c r="D9" i="118"/>
  <c r="G4" i="123"/>
  <c r="G44" i="15"/>
  <c r="R1" i="9"/>
  <c r="G46" i="15"/>
  <c r="G48" i="15"/>
  <c r="M33" i="56" l="1"/>
  <c r="P34" i="56"/>
  <c r="AE17" i="115" s="1"/>
  <c r="I17" i="115" s="1"/>
  <c r="B16" i="116" s="1"/>
  <c r="F16" i="116" s="1"/>
  <c r="C16" i="116" s="1"/>
  <c r="M17" i="56"/>
  <c r="P18" i="56"/>
  <c r="AE13" i="115" s="1"/>
  <c r="I13" i="115" s="1"/>
  <c r="B12" i="116" s="1"/>
  <c r="F12" i="116" s="1"/>
  <c r="C12" i="116" s="1"/>
  <c r="M9" i="56"/>
  <c r="P10" i="56"/>
  <c r="AE11" i="115" s="1"/>
  <c r="I11" i="115" s="1"/>
  <c r="AM5" i="115"/>
  <c r="T33" i="110"/>
  <c r="AQ6" i="115" s="1"/>
  <c r="AM6" i="115"/>
  <c r="T32" i="110"/>
  <c r="AQ5" i="115" s="1"/>
  <c r="AM4" i="115"/>
  <c r="T19" i="110"/>
  <c r="AO4" i="115" s="1"/>
  <c r="AM3" i="115"/>
  <c r="T18" i="110"/>
  <c r="AO3" i="115" s="1"/>
  <c r="L10" i="119"/>
  <c r="M25" i="56"/>
  <c r="E3" i="55"/>
  <c r="H6" i="55"/>
  <c r="H12" i="55"/>
  <c r="L12" i="55" s="1"/>
  <c r="S9" i="115" s="1"/>
  <c r="I9" i="115" s="1"/>
  <c r="Q31" i="110"/>
  <c r="W6" i="115"/>
  <c r="D5" i="118" s="1"/>
  <c r="L20" i="119"/>
  <c r="W5" i="115"/>
  <c r="D8" i="118" s="1"/>
  <c r="H17" i="118" s="1"/>
  <c r="I13" i="119"/>
  <c r="L21" i="119"/>
  <c r="L11" i="119"/>
  <c r="P11" i="119" s="1"/>
  <c r="AA4" i="115" s="1"/>
  <c r="H7" i="55"/>
  <c r="H13" i="55"/>
  <c r="L13" i="55" s="1"/>
  <c r="S10" i="115" s="1"/>
  <c r="I10" i="115" s="1"/>
  <c r="E7" i="55"/>
  <c r="Q17" i="110"/>
  <c r="G5" i="123"/>
  <c r="G47" i="15"/>
  <c r="G45" i="15"/>
  <c r="S1" i="9"/>
  <c r="L7" i="55" l="1"/>
  <c r="S8" i="115" s="1"/>
  <c r="I8" i="115" s="1"/>
  <c r="B7" i="116" s="1"/>
  <c r="F7" i="116" s="1"/>
  <c r="C7" i="116" s="1"/>
  <c r="B11" i="116"/>
  <c r="F11" i="116" s="1"/>
  <c r="C11" i="116" s="1"/>
  <c r="B10" i="116"/>
  <c r="F10" i="116" s="1"/>
  <c r="C10" i="116" s="1"/>
  <c r="B9" i="116"/>
  <c r="F9" i="116" s="1"/>
  <c r="C9" i="116" s="1"/>
  <c r="B8" i="116"/>
  <c r="F8" i="116" s="1"/>
  <c r="C8" i="116" s="1"/>
  <c r="L6" i="55"/>
  <c r="S7" i="115" s="1"/>
  <c r="I7" i="115" s="1"/>
  <c r="B6" i="116" s="1"/>
  <c r="F6" i="116" s="1"/>
  <c r="C6" i="116" s="1"/>
  <c r="P20" i="119"/>
  <c r="AA5" i="115" s="1"/>
  <c r="Y5" i="115"/>
  <c r="P21" i="119"/>
  <c r="Y3" i="115"/>
  <c r="P10" i="119"/>
  <c r="AA3" i="115" s="1"/>
  <c r="I5" i="55"/>
  <c r="K87" i="75"/>
  <c r="K123" i="75"/>
  <c r="K56" i="75"/>
  <c r="K61" i="75"/>
  <c r="K29" i="75"/>
  <c r="K57" i="75"/>
  <c r="K92" i="75"/>
  <c r="K53" i="75"/>
  <c r="K23" i="75"/>
  <c r="K54" i="75"/>
  <c r="K90" i="75"/>
  <c r="K95" i="75"/>
  <c r="K114" i="75"/>
  <c r="K11" i="75"/>
  <c r="K122" i="75"/>
  <c r="K68" i="75"/>
  <c r="K22" i="75"/>
  <c r="K35" i="75"/>
  <c r="K36" i="75"/>
  <c r="K48" i="75"/>
  <c r="K7" i="75"/>
  <c r="K34" i="75"/>
  <c r="K16" i="75"/>
  <c r="K107" i="75"/>
  <c r="K44" i="75"/>
  <c r="K28" i="75"/>
  <c r="K27" i="75"/>
  <c r="K113" i="75"/>
  <c r="K101" i="75"/>
  <c r="K69" i="75"/>
  <c r="K106" i="75"/>
  <c r="K38" i="75"/>
  <c r="K50" i="75"/>
  <c r="K119" i="75"/>
  <c r="K47" i="75"/>
  <c r="H16" i="118"/>
  <c r="L17" i="118" s="1"/>
  <c r="P6" i="115" s="1"/>
  <c r="I6" i="115" s="1"/>
  <c r="B5" i="116" s="1"/>
  <c r="F5" i="116" s="1"/>
  <c r="C5" i="116" s="1"/>
  <c r="K25" i="75"/>
  <c r="K8" i="75"/>
  <c r="K51" i="75"/>
  <c r="K97" i="75"/>
  <c r="K46" i="75"/>
  <c r="K108" i="75"/>
  <c r="K78" i="75"/>
  <c r="K9" i="75"/>
  <c r="K32" i="75"/>
  <c r="K100" i="75"/>
  <c r="K115" i="75"/>
  <c r="K74" i="75"/>
  <c r="K118" i="75"/>
  <c r="E3" i="118"/>
  <c r="K121" i="75"/>
  <c r="H6" i="118"/>
  <c r="K55" i="75"/>
  <c r="I11" i="55"/>
  <c r="K129" i="75"/>
  <c r="K86" i="75"/>
  <c r="K42" i="75"/>
  <c r="K33" i="75"/>
  <c r="K59" i="75"/>
  <c r="K75" i="75"/>
  <c r="K4" i="75"/>
  <c r="K116" i="75"/>
  <c r="K79" i="75"/>
  <c r="K49" i="75"/>
  <c r="K20" i="75"/>
  <c r="K43" i="75"/>
  <c r="K112" i="75"/>
  <c r="K24" i="75"/>
  <c r="K3" i="75"/>
  <c r="K41" i="75"/>
  <c r="K65" i="75"/>
  <c r="K5" i="75"/>
  <c r="K19" i="75"/>
  <c r="K37" i="75"/>
  <c r="K31" i="75"/>
  <c r="K58" i="75"/>
  <c r="H7" i="118"/>
  <c r="K117" i="75"/>
  <c r="K14" i="75"/>
  <c r="K89" i="75"/>
  <c r="K21" i="75"/>
  <c r="K73" i="75"/>
  <c r="K109" i="75"/>
  <c r="K18" i="75"/>
  <c r="K76" i="75"/>
  <c r="K98" i="75"/>
  <c r="K83" i="75"/>
  <c r="K91" i="75"/>
  <c r="K111" i="75"/>
  <c r="K130" i="75"/>
  <c r="K124" i="75"/>
  <c r="K10" i="75"/>
  <c r="K71" i="75"/>
  <c r="K62" i="75"/>
  <c r="K6" i="75"/>
  <c r="K40" i="75"/>
  <c r="K60" i="75"/>
  <c r="K66" i="75"/>
  <c r="K15" i="75"/>
  <c r="K63" i="75"/>
  <c r="K88" i="75"/>
  <c r="Y4" i="115"/>
  <c r="M9" i="119"/>
  <c r="Y6" i="115"/>
  <c r="M19" i="119"/>
  <c r="K103" i="75"/>
  <c r="K110" i="75"/>
  <c r="K67" i="75"/>
  <c r="K127" i="75"/>
  <c r="K52" i="75"/>
  <c r="K64" i="75"/>
  <c r="K45" i="75"/>
  <c r="K82" i="75"/>
  <c r="E7" i="118"/>
  <c r="K104" i="75"/>
  <c r="K12" i="75"/>
  <c r="K126" i="75"/>
  <c r="K93" i="75"/>
  <c r="K70" i="75"/>
  <c r="K125" i="75"/>
  <c r="K81" i="75"/>
  <c r="K105" i="75"/>
  <c r="K85" i="75"/>
  <c r="K96" i="75"/>
  <c r="K99" i="75"/>
  <c r="K77" i="75"/>
  <c r="K94" i="75"/>
  <c r="K102" i="75"/>
  <c r="K80" i="75"/>
  <c r="K17" i="75"/>
  <c r="K26" i="75"/>
  <c r="K120" i="75"/>
  <c r="K128" i="75"/>
  <c r="K30" i="75"/>
  <c r="K39" i="75"/>
  <c r="K84" i="75"/>
  <c r="K13" i="75"/>
  <c r="K72" i="75"/>
  <c r="H4" i="123"/>
  <c r="G50" i="15"/>
  <c r="R1" i="10"/>
  <c r="G52" i="15"/>
  <c r="G54" i="15"/>
  <c r="AC5" i="115" l="1"/>
  <c r="AC6" i="115"/>
  <c r="AA6" i="115"/>
  <c r="I15" i="118"/>
  <c r="L16" i="118"/>
  <c r="P5" i="115" s="1"/>
  <c r="I5" i="115" s="1"/>
  <c r="B4" i="116" s="1"/>
  <c r="F4" i="116" s="1"/>
  <c r="C4" i="116" s="1"/>
  <c r="L4" i="115"/>
  <c r="L7" i="118"/>
  <c r="N4" i="115" s="1"/>
  <c r="I4" i="115" s="1"/>
  <c r="B3" i="116" s="1"/>
  <c r="F3" i="116" s="1"/>
  <c r="C3" i="116" s="1"/>
  <c r="L3" i="115"/>
  <c r="L6" i="118"/>
  <c r="N3" i="115" s="1"/>
  <c r="I3" i="115" s="1"/>
  <c r="B2" i="116" s="1"/>
  <c r="I5" i="118"/>
  <c r="H5" i="123"/>
  <c r="G51" i="15"/>
  <c r="G53" i="15"/>
  <c r="S1" i="10"/>
  <c r="F108" i="75" l="1"/>
  <c r="F94" i="75"/>
  <c r="F57" i="75"/>
  <c r="E57" i="75" s="1"/>
  <c r="AH65" i="47" s="1"/>
  <c r="F10" i="75"/>
  <c r="E10" i="75" s="1"/>
  <c r="AH18" i="47" s="1"/>
  <c r="F72" i="75"/>
  <c r="F51" i="75"/>
  <c r="E51" i="75" s="1"/>
  <c r="AH59" i="47" s="1"/>
  <c r="F38" i="75"/>
  <c r="E38" i="75" s="1"/>
  <c r="F15" i="75"/>
  <c r="E15" i="75" s="1"/>
  <c r="AH23" i="47" s="1"/>
  <c r="F84" i="75"/>
  <c r="F21" i="75"/>
  <c r="E21" i="75" s="1"/>
  <c r="AH29" i="47" s="1"/>
  <c r="F119" i="75"/>
  <c r="F73" i="75"/>
  <c r="F80" i="75"/>
  <c r="F98" i="75"/>
  <c r="F127" i="75"/>
  <c r="F17" i="75"/>
  <c r="E17" i="75" s="1"/>
  <c r="AH25" i="47" s="1"/>
  <c r="F59" i="75"/>
  <c r="E59" i="75" s="1"/>
  <c r="AH67" i="47" s="1"/>
  <c r="F88" i="75"/>
  <c r="F83" i="75"/>
  <c r="F101" i="75"/>
  <c r="F22" i="75"/>
  <c r="E22" i="75" s="1"/>
  <c r="AH30" i="47" s="1"/>
  <c r="F19" i="75"/>
  <c r="E19" i="75" s="1"/>
  <c r="AH27" i="47" s="1"/>
  <c r="F47" i="75"/>
  <c r="E47" i="75" s="1"/>
  <c r="F33" i="75"/>
  <c r="E33" i="75" s="1"/>
  <c r="AH41" i="47" s="1"/>
  <c r="F105" i="75"/>
  <c r="F121" i="75"/>
  <c r="F71" i="75"/>
  <c r="F61" i="75"/>
  <c r="E61" i="75" s="1"/>
  <c r="F90" i="75"/>
  <c r="F89" i="75"/>
  <c r="F115" i="75"/>
  <c r="F31" i="75"/>
  <c r="E31" i="75" s="1"/>
  <c r="AH39" i="47" s="1"/>
  <c r="F111" i="75"/>
  <c r="F37" i="75"/>
  <c r="E37" i="75" s="1"/>
  <c r="AH45" i="47" s="1"/>
  <c r="F93" i="75"/>
  <c r="F77" i="75"/>
  <c r="F43" i="75"/>
  <c r="E43" i="75" s="1"/>
  <c r="AH51" i="47" s="1"/>
  <c r="F20" i="75"/>
  <c r="E20" i="75" s="1"/>
  <c r="AH28" i="47" s="1"/>
  <c r="F11" i="75"/>
  <c r="E11" i="75" s="1"/>
  <c r="F91" i="75"/>
  <c r="F25" i="75"/>
  <c r="E25" i="75" s="1"/>
  <c r="AH33" i="47" s="1"/>
  <c r="F100" i="75"/>
  <c r="F41" i="75"/>
  <c r="E41" i="75" s="1"/>
  <c r="F4" i="75"/>
  <c r="E4" i="75" s="1"/>
  <c r="AH12" i="47" s="1"/>
  <c r="F40" i="75"/>
  <c r="E40" i="75" s="1"/>
  <c r="AH48" i="47" s="1"/>
  <c r="F45" i="75"/>
  <c r="E45" i="75" s="1"/>
  <c r="AH53" i="47" s="1"/>
  <c r="F70" i="75"/>
  <c r="F125" i="75"/>
  <c r="F102" i="75"/>
  <c r="F5" i="75"/>
  <c r="E5" i="75" s="1"/>
  <c r="AH13" i="47" s="1"/>
  <c r="F34" i="75"/>
  <c r="E34" i="75" s="1"/>
  <c r="F39" i="75"/>
  <c r="E39" i="75" s="1"/>
  <c r="AH47" i="47" s="1"/>
  <c r="F44" i="75"/>
  <c r="E44" i="75" s="1"/>
  <c r="AH52" i="47" s="1"/>
  <c r="F26" i="75"/>
  <c r="E26" i="75" s="1"/>
  <c r="AH34" i="47" s="1"/>
  <c r="F46" i="75"/>
  <c r="E46" i="75" s="1"/>
  <c r="AH54" i="47" s="1"/>
  <c r="F55" i="75"/>
  <c r="E55" i="75" s="1"/>
  <c r="F2" i="116"/>
  <c r="C2" i="116" s="1"/>
  <c r="F113" i="75"/>
  <c r="F36" i="75"/>
  <c r="E36" i="75" s="1"/>
  <c r="F58" i="75"/>
  <c r="E58" i="75" s="1"/>
  <c r="AH66" i="47" s="1"/>
  <c r="F16" i="75"/>
  <c r="E16" i="75" s="1"/>
  <c r="AH24" i="47" s="1"/>
  <c r="F96" i="75"/>
  <c r="F53" i="75"/>
  <c r="E53" i="75" s="1"/>
  <c r="AH61" i="47" s="1"/>
  <c r="F49" i="75"/>
  <c r="E49" i="75" s="1"/>
  <c r="F68" i="75"/>
  <c r="F62" i="75"/>
  <c r="F99" i="75"/>
  <c r="F35" i="75"/>
  <c r="E35" i="75" s="1"/>
  <c r="F114" i="75"/>
  <c r="F82" i="75"/>
  <c r="F118" i="75"/>
  <c r="F126" i="75"/>
  <c r="F110" i="75"/>
  <c r="F60" i="75"/>
  <c r="E60" i="75" s="1"/>
  <c r="AH68" i="47" s="1"/>
  <c r="F107" i="75"/>
  <c r="F130" i="75"/>
  <c r="F106" i="75"/>
  <c r="F109" i="75"/>
  <c r="F69" i="75"/>
  <c r="F76" i="75"/>
  <c r="F117" i="75"/>
  <c r="F86" i="75"/>
  <c r="F28" i="75"/>
  <c r="E28" i="75" s="1"/>
  <c r="AH36" i="47" s="1"/>
  <c r="F123" i="75"/>
  <c r="F42" i="75"/>
  <c r="E42" i="75" s="1"/>
  <c r="AH50" i="47" s="1"/>
  <c r="F64" i="75"/>
  <c r="F79" i="75"/>
  <c r="F122" i="75"/>
  <c r="F7" i="75"/>
  <c r="E7" i="75" s="1"/>
  <c r="AH15" i="47" s="1"/>
  <c r="F65" i="75"/>
  <c r="F129" i="75"/>
  <c r="F3" i="75"/>
  <c r="E3" i="75" s="1"/>
  <c r="AH11" i="47" s="1"/>
  <c r="F92" i="75"/>
  <c r="F97" i="75"/>
  <c r="F78" i="75"/>
  <c r="F95" i="75"/>
  <c r="F81" i="75"/>
  <c r="F128" i="75"/>
  <c r="F48" i="75"/>
  <c r="E48" i="75" s="1"/>
  <c r="F54" i="75"/>
  <c r="E54" i="75" s="1"/>
  <c r="AH62" i="47" s="1"/>
  <c r="F87" i="75"/>
  <c r="F66" i="75"/>
  <c r="F67" i="75"/>
  <c r="F8" i="75"/>
  <c r="E8" i="75" s="1"/>
  <c r="AH16" i="47" s="1"/>
  <c r="F104" i="75"/>
  <c r="F52" i="75"/>
  <c r="E52" i="75" s="1"/>
  <c r="AH60" i="47" s="1"/>
  <c r="F24" i="75"/>
  <c r="E24" i="75" s="1"/>
  <c r="AH32" i="47" s="1"/>
  <c r="F12" i="75"/>
  <c r="E12" i="75" s="1"/>
  <c r="F116" i="75"/>
  <c r="F29" i="75"/>
  <c r="E29" i="75" s="1"/>
  <c r="AH37" i="47" s="1"/>
  <c r="F14" i="75"/>
  <c r="E14" i="75" s="1"/>
  <c r="AH22" i="47" s="1"/>
  <c r="F75" i="75"/>
  <c r="F120" i="75"/>
  <c r="F124" i="75"/>
  <c r="F18" i="75"/>
  <c r="E18" i="75" s="1"/>
  <c r="AH26" i="47" s="1"/>
  <c r="F9" i="75"/>
  <c r="E9" i="75" s="1"/>
  <c r="AH17" i="47" s="1"/>
  <c r="F74" i="75"/>
  <c r="F32" i="75"/>
  <c r="E32" i="75" s="1"/>
  <c r="F103" i="75"/>
  <c r="F50" i="75"/>
  <c r="E50" i="75" s="1"/>
  <c r="F13" i="75"/>
  <c r="E13" i="75" s="1"/>
  <c r="AH21" i="47" s="1"/>
  <c r="F85" i="75"/>
  <c r="F63" i="75"/>
  <c r="F30" i="75"/>
  <c r="E30" i="75" s="1"/>
  <c r="F112" i="75"/>
  <c r="F27" i="75"/>
  <c r="E27" i="75" s="1"/>
  <c r="F56" i="75"/>
  <c r="E56" i="75" s="1"/>
  <c r="F23" i="75"/>
  <c r="E23" i="75" s="1"/>
  <c r="AH31" i="47" s="1"/>
  <c r="F6" i="75"/>
  <c r="E6" i="75" s="1"/>
  <c r="AH14" i="47" s="1"/>
  <c r="I4" i="123"/>
  <c r="G56" i="15"/>
  <c r="R1" i="108"/>
  <c r="G58" i="15"/>
  <c r="G60" i="15"/>
  <c r="A189" i="61" l="1"/>
  <c r="AI57" i="47"/>
  <c r="AK57" i="47"/>
  <c r="AJ57" i="47"/>
  <c r="AK23" i="47"/>
  <c r="AI23" i="47"/>
  <c r="A53" i="61"/>
  <c r="AJ23" i="47"/>
  <c r="AJ16" i="47"/>
  <c r="AI16" i="47"/>
  <c r="AK16" i="47"/>
  <c r="A25" i="61"/>
  <c r="AK41" i="47"/>
  <c r="A125" i="61"/>
  <c r="AJ41" i="47"/>
  <c r="AI41" i="47"/>
  <c r="A49" i="61"/>
  <c r="AK22" i="47"/>
  <c r="AI22" i="47"/>
  <c r="AJ22" i="47"/>
  <c r="AJ61" i="47"/>
  <c r="AK61" i="47"/>
  <c r="A205" i="61"/>
  <c r="AI61" i="47"/>
  <c r="AI54" i="47"/>
  <c r="AK54" i="47"/>
  <c r="A177" i="61"/>
  <c r="AJ54" i="47"/>
  <c r="AI19" i="47"/>
  <c r="A37" i="61"/>
  <c r="AJ19" i="47"/>
  <c r="AK19" i="47"/>
  <c r="AK55" i="47"/>
  <c r="AI55" i="47"/>
  <c r="AJ55" i="47"/>
  <c r="A181" i="61"/>
  <c r="AI46" i="47"/>
  <c r="AJ46" i="47"/>
  <c r="A145" i="61"/>
  <c r="AK46" i="47"/>
  <c r="AJ21" i="47"/>
  <c r="AI21" i="47"/>
  <c r="A45" i="61"/>
  <c r="AK21" i="47"/>
  <c r="AK31" i="47"/>
  <c r="AJ31" i="47"/>
  <c r="A85" i="61"/>
  <c r="AI31" i="47"/>
  <c r="AJ25" i="47"/>
  <c r="AK25" i="47"/>
  <c r="A61" i="61"/>
  <c r="AI25" i="47"/>
  <c r="AJ64" i="47"/>
  <c r="A217" i="61"/>
  <c r="AK64" i="47"/>
  <c r="AI64" i="47"/>
  <c r="A101" i="61"/>
  <c r="AK35" i="47"/>
  <c r="AJ35" i="47"/>
  <c r="AI35" i="47"/>
  <c r="AJ40" i="47"/>
  <c r="A121" i="61"/>
  <c r="AI40" i="47"/>
  <c r="AK40" i="47"/>
  <c r="AI37" i="47"/>
  <c r="A109" i="61"/>
  <c r="AK37" i="47"/>
  <c r="AJ37" i="47"/>
  <c r="A97" i="61"/>
  <c r="AJ34" i="47"/>
  <c r="AK34" i="47"/>
  <c r="AI34" i="47"/>
  <c r="AK53" i="47"/>
  <c r="AI53" i="47"/>
  <c r="A173" i="61"/>
  <c r="AJ53" i="47"/>
  <c r="AK28" i="47"/>
  <c r="AJ28" i="47"/>
  <c r="AI28" i="47"/>
  <c r="A73" i="61"/>
  <c r="AI27" i="47"/>
  <c r="AJ27" i="47"/>
  <c r="A69" i="61"/>
  <c r="AK27" i="47"/>
  <c r="AK59" i="47"/>
  <c r="AI59" i="47"/>
  <c r="A197" i="61"/>
  <c r="AJ59" i="47"/>
  <c r="A17" i="61"/>
  <c r="AJ14" i="47"/>
  <c r="AI14" i="47"/>
  <c r="AK14" i="47"/>
  <c r="A117" i="61"/>
  <c r="AJ39" i="47"/>
  <c r="AK39" i="47"/>
  <c r="AI39" i="47"/>
  <c r="AI50" i="47"/>
  <c r="A161" i="61"/>
  <c r="AJ50" i="47"/>
  <c r="AK50" i="47"/>
  <c r="A57" i="61"/>
  <c r="AJ24" i="47"/>
  <c r="AI24" i="47"/>
  <c r="AK24" i="47"/>
  <c r="AK52" i="47"/>
  <c r="AI52" i="47"/>
  <c r="A169" i="61"/>
  <c r="AJ52" i="47"/>
  <c r="AJ48" i="47"/>
  <c r="A153" i="61"/>
  <c r="AI48" i="47"/>
  <c r="AK48" i="47"/>
  <c r="A165" i="61"/>
  <c r="AK51" i="47"/>
  <c r="AJ51" i="47"/>
  <c r="AI51" i="47"/>
  <c r="AK30" i="47"/>
  <c r="A81" i="61"/>
  <c r="AJ30" i="47"/>
  <c r="AI30" i="47"/>
  <c r="AI38" i="47"/>
  <c r="AJ38" i="47"/>
  <c r="AK38" i="47"/>
  <c r="A113" i="61"/>
  <c r="AI11" i="47"/>
  <c r="AJ11" i="47"/>
  <c r="A5" i="61"/>
  <c r="AK11" i="47"/>
  <c r="A133" i="61"/>
  <c r="AI43" i="47"/>
  <c r="AJ43" i="47"/>
  <c r="AK43" i="47"/>
  <c r="A225" i="61"/>
  <c r="AK66" i="47"/>
  <c r="AJ66" i="47"/>
  <c r="AI66" i="47"/>
  <c r="A149" i="61"/>
  <c r="AJ47" i="47"/>
  <c r="AI47" i="47"/>
  <c r="AK47" i="47"/>
  <c r="A9" i="61"/>
  <c r="AK12" i="47"/>
  <c r="AJ12" i="47"/>
  <c r="AI12" i="47"/>
  <c r="A237" i="61"/>
  <c r="AJ69" i="47"/>
  <c r="AI69" i="47"/>
  <c r="AK69" i="47"/>
  <c r="AK18" i="47"/>
  <c r="AI18" i="47"/>
  <c r="AJ18" i="47"/>
  <c r="A33" i="61"/>
  <c r="AJ58" i="47"/>
  <c r="AK58" i="47"/>
  <c r="AI58" i="47"/>
  <c r="A193" i="61"/>
  <c r="A41" i="61"/>
  <c r="AI20" i="47"/>
  <c r="AJ20" i="47"/>
  <c r="AK20" i="47"/>
  <c r="AI26" i="47"/>
  <c r="A65" i="61"/>
  <c r="AJ26" i="47"/>
  <c r="AK26" i="47"/>
  <c r="A89" i="61"/>
  <c r="AI32" i="47"/>
  <c r="AK32" i="47"/>
  <c r="AJ32" i="47"/>
  <c r="AI56" i="47"/>
  <c r="AJ56" i="47"/>
  <c r="AK56" i="47"/>
  <c r="A185" i="61"/>
  <c r="AJ36" i="47"/>
  <c r="AI36" i="47"/>
  <c r="AK36" i="47"/>
  <c r="A105" i="61"/>
  <c r="AI44" i="47"/>
  <c r="AK44" i="47"/>
  <c r="A137" i="61"/>
  <c r="AJ44" i="47"/>
  <c r="A129" i="61"/>
  <c r="AJ42" i="47"/>
  <c r="AI42" i="47"/>
  <c r="AK42" i="47"/>
  <c r="AJ49" i="47"/>
  <c r="AK49" i="47"/>
  <c r="AI49" i="47"/>
  <c r="A157" i="61"/>
  <c r="AK65" i="47"/>
  <c r="AJ65" i="47"/>
  <c r="AI65" i="47"/>
  <c r="A221" i="61"/>
  <c r="AI63" i="47"/>
  <c r="AJ63" i="47"/>
  <c r="A213" i="61"/>
  <c r="AK63" i="47"/>
  <c r="AJ17" i="47"/>
  <c r="A29" i="61"/>
  <c r="AI17" i="47"/>
  <c r="AK17" i="47"/>
  <c r="AI62" i="47"/>
  <c r="AK62" i="47"/>
  <c r="AJ62" i="47"/>
  <c r="A209" i="61"/>
  <c r="AI60" i="47"/>
  <c r="A201" i="61"/>
  <c r="AJ60" i="47"/>
  <c r="AK60" i="47"/>
  <c r="AJ68" i="47"/>
  <c r="AK68" i="47"/>
  <c r="AI68" i="47"/>
  <c r="A233" i="61"/>
  <c r="AK13" i="47"/>
  <c r="AJ13" i="47"/>
  <c r="A13" i="61"/>
  <c r="AI13" i="47"/>
  <c r="A141" i="61"/>
  <c r="AK45" i="47"/>
  <c r="AI45" i="47"/>
  <c r="AJ45" i="47"/>
  <c r="AK29" i="47"/>
  <c r="A77" i="61"/>
  <c r="AI29" i="47"/>
  <c r="AJ29" i="47"/>
  <c r="AJ15" i="47"/>
  <c r="AK15" i="47"/>
  <c r="A21" i="61"/>
  <c r="AI15" i="47"/>
  <c r="AJ33" i="47"/>
  <c r="AK33" i="47"/>
  <c r="A93" i="61"/>
  <c r="AI33" i="47"/>
  <c r="A229" i="61"/>
  <c r="AJ67" i="47"/>
  <c r="AI67" i="47"/>
  <c r="AK67" i="47"/>
  <c r="I5" i="123"/>
  <c r="S1" i="108"/>
  <c r="G57" i="15"/>
  <c r="G59" i="15"/>
  <c r="I229" i="61" l="1"/>
  <c r="H229" i="61"/>
  <c r="G229" i="61"/>
  <c r="G141" i="61"/>
  <c r="I141" i="61"/>
  <c r="H141" i="61"/>
  <c r="H221" i="61"/>
  <c r="G221" i="61"/>
  <c r="I221" i="61"/>
  <c r="G105" i="61"/>
  <c r="H105" i="61"/>
  <c r="I105" i="61"/>
  <c r="I33" i="61"/>
  <c r="G33" i="61"/>
  <c r="H33" i="61"/>
  <c r="H73" i="61"/>
  <c r="I73" i="61"/>
  <c r="G73" i="61"/>
  <c r="H5" i="61"/>
  <c r="I5" i="61"/>
  <c r="G5" i="61"/>
  <c r="G197" i="61"/>
  <c r="I197" i="61"/>
  <c r="H197" i="61"/>
  <c r="H85" i="61"/>
  <c r="G85" i="61"/>
  <c r="I85" i="61"/>
  <c r="I145" i="61"/>
  <c r="H145" i="61"/>
  <c r="G145" i="61"/>
  <c r="I205" i="61"/>
  <c r="H205" i="61"/>
  <c r="G205" i="61"/>
  <c r="G53" i="61"/>
  <c r="H53" i="61"/>
  <c r="I53" i="61"/>
  <c r="I21" i="61"/>
  <c r="G21" i="61"/>
  <c r="H21" i="61"/>
  <c r="I93" i="61"/>
  <c r="H93" i="61"/>
  <c r="G93" i="61"/>
  <c r="G81" i="61"/>
  <c r="I81" i="61"/>
  <c r="H81" i="61"/>
  <c r="H153" i="61"/>
  <c r="I153" i="61"/>
  <c r="G153" i="61"/>
  <c r="G121" i="61"/>
  <c r="H121" i="61"/>
  <c r="I121" i="61"/>
  <c r="G217" i="61"/>
  <c r="I217" i="61"/>
  <c r="H217" i="61"/>
  <c r="I37" i="61"/>
  <c r="H37" i="61"/>
  <c r="G37" i="61"/>
  <c r="H125" i="61"/>
  <c r="I125" i="61"/>
  <c r="G125" i="61"/>
  <c r="I201" i="61"/>
  <c r="G201" i="61"/>
  <c r="H201" i="61"/>
  <c r="I29" i="61"/>
  <c r="G29" i="61"/>
  <c r="H29" i="61"/>
  <c r="H129" i="61"/>
  <c r="G129" i="61"/>
  <c r="I129" i="61"/>
  <c r="I89" i="61"/>
  <c r="G89" i="61"/>
  <c r="H89" i="61"/>
  <c r="G9" i="61"/>
  <c r="H9" i="61"/>
  <c r="I9" i="61"/>
  <c r="H225" i="61"/>
  <c r="I225" i="61"/>
  <c r="G225" i="61"/>
  <c r="H57" i="61"/>
  <c r="G57" i="61"/>
  <c r="I57" i="61"/>
  <c r="H117" i="61"/>
  <c r="G117" i="61"/>
  <c r="I117" i="61"/>
  <c r="I97" i="61"/>
  <c r="G97" i="61"/>
  <c r="H97" i="61"/>
  <c r="I13" i="61"/>
  <c r="G13" i="61"/>
  <c r="H13" i="61"/>
  <c r="H77" i="61"/>
  <c r="I77" i="61"/>
  <c r="G77" i="61"/>
  <c r="G41" i="61"/>
  <c r="H41" i="61"/>
  <c r="I41" i="61"/>
  <c r="I233" i="61"/>
  <c r="H233" i="61"/>
  <c r="G233" i="61"/>
  <c r="I209" i="61"/>
  <c r="H209" i="61"/>
  <c r="G209" i="61"/>
  <c r="I157" i="61"/>
  <c r="G157" i="61"/>
  <c r="H157" i="61"/>
  <c r="G185" i="61"/>
  <c r="I185" i="61"/>
  <c r="H185" i="61"/>
  <c r="H193" i="61"/>
  <c r="I193" i="61"/>
  <c r="G193" i="61"/>
  <c r="I113" i="61"/>
  <c r="H113" i="61"/>
  <c r="G113" i="61"/>
  <c r="I181" i="61"/>
  <c r="G181" i="61"/>
  <c r="H181" i="61"/>
  <c r="I25" i="61"/>
  <c r="H25" i="61"/>
  <c r="G25" i="61"/>
  <c r="G213" i="61"/>
  <c r="H213" i="61"/>
  <c r="I213" i="61"/>
  <c r="G137" i="61"/>
  <c r="H137" i="61"/>
  <c r="I137" i="61"/>
  <c r="H169" i="61"/>
  <c r="G169" i="61"/>
  <c r="I169" i="61"/>
  <c r="H69" i="61"/>
  <c r="I69" i="61"/>
  <c r="G69" i="61"/>
  <c r="H173" i="61"/>
  <c r="G173" i="61"/>
  <c r="I173" i="61"/>
  <c r="I61" i="61"/>
  <c r="G61" i="61"/>
  <c r="H61" i="61"/>
  <c r="G45" i="61"/>
  <c r="I45" i="61"/>
  <c r="H45" i="61"/>
  <c r="G177" i="61"/>
  <c r="I177" i="61"/>
  <c r="H177" i="61"/>
  <c r="G65" i="61"/>
  <c r="H65" i="61"/>
  <c r="I65" i="61"/>
  <c r="G161" i="61"/>
  <c r="H161" i="61"/>
  <c r="I161" i="61"/>
  <c r="G109" i="61"/>
  <c r="H109" i="61"/>
  <c r="I109" i="61"/>
  <c r="I237" i="61"/>
  <c r="G237" i="61"/>
  <c r="H237" i="61"/>
  <c r="G149" i="61"/>
  <c r="I149" i="61"/>
  <c r="H149" i="61"/>
  <c r="G133" i="61"/>
  <c r="H133" i="61"/>
  <c r="I133" i="61"/>
  <c r="I165" i="61"/>
  <c r="G165" i="61"/>
  <c r="H165" i="61"/>
  <c r="H17" i="61"/>
  <c r="I17" i="61"/>
  <c r="G17" i="61"/>
  <c r="H101" i="61"/>
  <c r="G101" i="61"/>
  <c r="I101" i="61"/>
  <c r="H49" i="61"/>
  <c r="I49" i="61"/>
  <c r="G49" i="61"/>
  <c r="G189" i="61"/>
  <c r="H189" i="61"/>
  <c r="I189" i="61"/>
  <c r="J4" i="123"/>
  <c r="R1" i="107"/>
  <c r="G66" i="15"/>
  <c r="G64" i="15"/>
  <c r="G62" i="15"/>
  <c r="J5" i="123" l="1"/>
  <c r="G63" i="15"/>
  <c r="S1" i="107"/>
  <c r="G65" i="15"/>
  <c r="K4" i="123" l="1"/>
  <c r="G70" i="15"/>
  <c r="G68" i="15"/>
  <c r="G72" i="15"/>
  <c r="R1" i="106"/>
  <c r="K5" i="123" l="1"/>
  <c r="G71" i="15"/>
  <c r="S1" i="106"/>
  <c r="G69" i="15"/>
  <c r="L4" i="123" l="1"/>
  <c r="R1" i="105"/>
  <c r="G76" i="15"/>
  <c r="G74" i="15"/>
  <c r="G78" i="15"/>
  <c r="L5" i="123" l="1"/>
  <c r="S1" i="105"/>
  <c r="G77" i="15"/>
  <c r="G75" i="15"/>
  <c r="M4" i="123" l="1"/>
  <c r="R1" i="104"/>
  <c r="G82" i="15"/>
  <c r="G84" i="15"/>
  <c r="G80" i="15"/>
  <c r="M5" i="123" l="1"/>
  <c r="G81" i="15"/>
  <c r="S1" i="104"/>
  <c r="G83" i="15"/>
  <c r="N4" i="123" l="1"/>
  <c r="G88" i="15"/>
  <c r="R1" i="103"/>
  <c r="G86" i="15"/>
  <c r="G90" i="15"/>
  <c r="N5" i="123" l="1"/>
  <c r="G89" i="15"/>
  <c r="G87" i="15"/>
  <c r="S1" i="103"/>
  <c r="O4" i="123" l="1"/>
  <c r="G96" i="15"/>
  <c r="G92" i="15"/>
  <c r="R1" i="102"/>
  <c r="G94" i="15"/>
  <c r="O5" i="123" l="1"/>
  <c r="G95" i="15"/>
  <c r="S1" i="102"/>
  <c r="G93" i="15"/>
  <c r="P4" i="123" l="1"/>
  <c r="G100" i="15"/>
  <c r="G98" i="15"/>
  <c r="G102" i="15"/>
  <c r="R1" i="101"/>
  <c r="P5" i="123" l="1"/>
  <c r="Q4" i="123" s="1"/>
  <c r="H2" i="84"/>
  <c r="G108" i="15"/>
  <c r="R1" i="100"/>
  <c r="G106" i="15"/>
  <c r="S1" i="101"/>
  <c r="G101" i="15"/>
  <c r="G99" i="15"/>
  <c r="G104" i="15"/>
  <c r="J2" i="84"/>
  <c r="H17" i="84" l="1"/>
  <c r="D3" i="84"/>
  <c r="H5" i="84"/>
  <c r="H11" i="84"/>
  <c r="D7" i="8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91" authorId="0" shapeId="0" xr:uid="{00000000-0006-0000-0000-00000100000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3800-000001000000}">
      <text>
        <r>
          <rPr>
            <b/>
            <sz val="8"/>
            <color indexed="81"/>
            <rFont val="Tahoma"/>
            <family val="2"/>
            <charset val="238"/>
          </rPr>
          <t>Je potřeba spočítat spuštěním makra na listu Kvalita turnaje</t>
        </r>
      </text>
    </comment>
    <comment ref="L1" authorId="0" shapeId="0" xr:uid="{00000000-0006-0000-3800-00000200000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3D00-000001000000}">
      <text>
        <r>
          <rPr>
            <b/>
            <sz val="8"/>
            <color indexed="81"/>
            <rFont val="Tahoma"/>
            <family val="2"/>
            <charset val="238"/>
          </rPr>
          <t>tento údaj určuje pořadí týmu v turnaji - pozor na přesné vyplnění, aby nedošlo k omylům!!!</t>
        </r>
      </text>
    </comment>
    <comment ref="B4" authorId="0" shapeId="0" xr:uid="{00000000-0006-0000-3D00-000002000000}">
      <text>
        <r>
          <rPr>
            <sz val="8"/>
            <color indexed="81"/>
            <rFont val="Tahoma"/>
            <family val="2"/>
            <charset val="238"/>
          </rPr>
          <t>Číslo hráčské licence / prázdné</t>
        </r>
      </text>
    </comment>
    <comment ref="C4" authorId="0" shapeId="0" xr:uid="{00000000-0006-0000-3D00-000003000000}">
      <text>
        <r>
          <rPr>
            <sz val="8"/>
            <color indexed="81"/>
            <rFont val="Tahoma"/>
            <family val="2"/>
            <charset val="238"/>
          </rPr>
          <t>Příjmení hráče</t>
        </r>
      </text>
    </comment>
    <comment ref="D4" authorId="0" shapeId="0" xr:uid="{00000000-0006-0000-3D00-000004000000}">
      <text>
        <r>
          <rPr>
            <sz val="8"/>
            <color indexed="81"/>
            <rFont val="Tahoma"/>
            <family val="2"/>
            <charset val="238"/>
          </rPr>
          <t>Jméno hráče (s případným rozlišením ml., st.)</t>
        </r>
      </text>
    </comment>
    <comment ref="E4" authorId="0" shapeId="0" xr:uid="{00000000-0006-0000-3D00-000005000000}">
      <text>
        <r>
          <rPr>
            <sz val="8"/>
            <color indexed="81"/>
            <rFont val="Tahoma"/>
            <family val="2"/>
            <charset val="238"/>
          </rPr>
          <t>Název klubu (viz Seznam klubů)</t>
        </r>
      </text>
    </comment>
    <comment ref="F4" authorId="0" shapeId="0" xr:uid="{00000000-0006-0000-3D00-000006000000}">
      <text>
        <r>
          <rPr>
            <b/>
            <sz val="10"/>
            <color indexed="81"/>
            <rFont val="Tahoma"/>
            <family val="2"/>
          </rPr>
          <t>Cizinci se již nesledují</t>
        </r>
      </text>
    </comment>
    <comment ref="G4" authorId="0" shapeId="0" xr:uid="{00000000-0006-0000-3D00-000007000000}">
      <text>
        <r>
          <rPr>
            <sz val="10"/>
            <color indexed="81"/>
            <rFont val="Tahoma"/>
            <family val="2"/>
          </rPr>
          <t xml:space="preserve">Bonus za třídu turnaje </t>
        </r>
      </text>
    </comment>
    <comment ref="H4" authorId="0" shapeId="0" xr:uid="{00000000-0006-0000-3D00-000008000000}">
      <text>
        <r>
          <rPr>
            <sz val="10"/>
            <color indexed="81"/>
            <rFont val="Tahoma"/>
            <family val="2"/>
          </rPr>
          <t>Body za umístění</t>
        </r>
      </text>
    </comment>
    <comment ref="I4" authorId="0" shapeId="0" xr:uid="{00000000-0006-0000-3D00-000009000000}">
      <text>
        <r>
          <rPr>
            <sz val="10"/>
            <color indexed="81"/>
            <rFont val="Tahoma"/>
            <family val="2"/>
          </rPr>
          <t>Postupové body za umístění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M2" authorId="0" shapeId="0" xr:uid="{00000000-0006-0000-0500-000003000000}">
      <text>
        <r>
          <rPr>
            <b/>
            <sz val="8"/>
            <color indexed="81"/>
            <rFont val="Tahoma"/>
            <family val="2"/>
            <charset val="238"/>
          </rPr>
          <t xml:space="preserve">   - Regional
P - Prestige
S - SuperPrestige
M - MČR
F - finále MČR</t>
        </r>
      </text>
    </comment>
    <comment ref="N2" authorId="0" shapeId="0" xr:uid="{00000000-0006-0000-0500-000004000000}">
      <text>
        <r>
          <rPr>
            <b/>
            <sz val="8"/>
            <color indexed="81"/>
            <rFont val="Tahoma"/>
            <family val="2"/>
            <charset val="238"/>
          </rPr>
          <t xml:space="preserve">   - Regional
P - Prestige
S - SuperPrestige
M - MČR
F - finále MČR</t>
        </r>
      </text>
    </comment>
    <comment ref="N3" authorId="0" shapeId="0" xr:uid="{00000000-0006-0000-0500-00000500000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xr:uid="{00000000-0006-0000-0500-000006000000}">
      <text>
        <r>
          <rPr>
            <b/>
            <sz val="8"/>
            <color indexed="81"/>
            <rFont val="Tahoma"/>
            <family val="2"/>
            <charset val="238"/>
          </rPr>
          <t>Počet skupin se dopočte na základě hodnoty (viz buňka pod)</t>
        </r>
      </text>
    </comment>
    <comment ref="N7" authorId="0" shapeId="0" xr:uid="{00000000-0006-0000-0500-000007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shapeId="0" xr:uid="{00000000-0006-0000-0500-000008000000}">
      <text>
        <r>
          <rPr>
            <b/>
            <sz val="8"/>
            <color indexed="81"/>
            <rFont val="Tahoma"/>
            <family val="2"/>
            <charset val="238"/>
          </rPr>
          <t>Když zde nic není, tak se v názvu týmu neobjeví číslo nasazení.</t>
        </r>
      </text>
    </comment>
    <comment ref="A9" authorId="0" shapeId="0" xr:uid="{00000000-0006-0000-0500-000009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xr:uid="{00000000-0006-0000-0500-00000A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0B000000}">
      <text>
        <r>
          <rPr>
            <b/>
            <sz val="8"/>
            <color indexed="81"/>
            <rFont val="Tahoma"/>
            <family val="2"/>
            <charset val="238"/>
          </rPr>
          <t>Pořadí nasazení týmu do turnaje (povinně se nasazují dva týmy do skupiny)</t>
        </r>
      </text>
    </comment>
    <comment ref="I10" authorId="0" shapeId="0" xr:uid="{00000000-0006-0000-0500-00000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0D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0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0F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0000000}">
      <text>
        <r>
          <rPr>
            <sz val="10"/>
            <color indexed="81"/>
            <rFont val="Tahoma"/>
            <family val="2"/>
          </rPr>
          <t>Pořadí hráče na aktuálním žebříčku ČAPEK (doplní se automaticky)</t>
        </r>
      </text>
    </comment>
    <comment ref="N10" authorId="0" shapeId="0" xr:uid="{00000000-0006-0000-0500-000011000000}">
      <text>
        <r>
          <rPr>
            <sz val="10"/>
            <color indexed="81"/>
            <rFont val="Tahoma"/>
            <family val="2"/>
          </rPr>
          <t>BH hráče z  aktuálního žebříčku ČAPEK (doplní se automaticky)</t>
        </r>
      </text>
    </comment>
    <comment ref="O10" authorId="0" shapeId="0" xr:uid="{00000000-0006-0000-0500-00001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3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5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16000000}">
      <text>
        <r>
          <rPr>
            <sz val="10"/>
            <color indexed="81"/>
            <rFont val="Tahoma"/>
            <family val="2"/>
          </rPr>
          <t>Pořadí hráče na aktuálním žebříčku ČAPEK (doplní se automaticky)</t>
        </r>
      </text>
    </comment>
    <comment ref="T10" authorId="0" shapeId="0" xr:uid="{00000000-0006-0000-0500-000017000000}">
      <text>
        <r>
          <rPr>
            <sz val="10"/>
            <color indexed="81"/>
            <rFont val="Tahoma"/>
            <family val="2"/>
          </rPr>
          <t>BH hráče z  aktuálního žebříčku ČAPEK (doplní se automaticky)</t>
        </r>
      </text>
    </comment>
    <comment ref="U10" authorId="0" shapeId="0" xr:uid="{00000000-0006-0000-0500-00001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1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1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1B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1C000000}">
      <text>
        <r>
          <rPr>
            <sz val="10"/>
            <color indexed="81"/>
            <rFont val="Tahoma"/>
            <family val="2"/>
          </rPr>
          <t>Pořadí hráče na aktuálním žebříčku ČAPEK (doplní se automaticky)</t>
        </r>
      </text>
    </comment>
    <comment ref="Z10" authorId="0" shapeId="0" xr:uid="{00000000-0006-0000-0500-00001D000000}">
      <text>
        <r>
          <rPr>
            <sz val="10"/>
            <color indexed="81"/>
            <rFont val="Tahoma"/>
            <family val="2"/>
          </rPr>
          <t>BH hráče z  aktuálního žebříčku ČAPEK (doplní se automaticky)</t>
        </r>
      </text>
    </comment>
    <comment ref="AA10" authorId="0" shapeId="0" xr:uid="{00000000-0006-0000-0500-00001E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1F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0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1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2000000}">
      <text>
        <r>
          <rPr>
            <sz val="10"/>
            <color indexed="81"/>
            <rFont val="Tahoma"/>
            <family val="2"/>
          </rPr>
          <t>Pořadí hráče na aktuálním žebříčku ČAPEK (doplní se automaticky)</t>
        </r>
      </text>
    </comment>
    <comment ref="AF10" authorId="0" shapeId="0" xr:uid="{00000000-0006-0000-0500-000023000000}">
      <text>
        <r>
          <rPr>
            <sz val="10"/>
            <color indexed="81"/>
            <rFont val="Tahoma"/>
            <family val="2"/>
          </rPr>
          <t>BH hráče z  aktuálního žebříčku ČAPEK (doplní se automaticky)</t>
        </r>
      </text>
    </comment>
    <comment ref="AI10" authorId="0" shapeId="0" xr:uid="{00000000-0006-0000-0500-000024000000}">
      <text>
        <r>
          <rPr>
            <b/>
            <sz val="8"/>
            <color indexed="81"/>
            <rFont val="Tahoma"/>
            <family val="2"/>
            <charset val="238"/>
          </rPr>
          <t>Body za turnaj:
=postupové body * kvalita turnaje +bonus</t>
        </r>
      </text>
    </comment>
    <comment ref="AJ10" authorId="0" shapeId="0" xr:uid="{00000000-0006-0000-0500-000025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26000000}">
      <text>
        <r>
          <rPr>
            <b/>
            <sz val="8"/>
            <color indexed="81"/>
            <rFont val="Tahoma"/>
            <family val="2"/>
            <charset val="238"/>
          </rPr>
          <t>Postupové body v turnaji</t>
        </r>
      </text>
    </comment>
    <comment ref="AL10" authorId="1" shapeId="0" xr:uid="{00000000-0006-0000-0500-000027000000}">
      <text>
        <r>
          <rPr>
            <b/>
            <sz val="8"/>
            <color indexed="81"/>
            <rFont val="Tahoma"/>
            <family val="2"/>
            <charset val="238"/>
          </rPr>
          <t>Název týmu (nepovinný)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700-000001000000}">
      <text>
        <r>
          <rPr>
            <b/>
            <sz val="8"/>
            <color indexed="81"/>
            <rFont val="Tahoma"/>
            <family val="2"/>
            <charset val="238"/>
          </rPr>
          <t xml:space="preserve">Kvalita turnaje =
průměr síly 16-ti nejlepších hráčů
</t>
        </r>
      </text>
    </comment>
    <comment ref="F3" authorId="0" shapeId="0" xr:uid="{00000000-0006-0000-0700-000002000000}">
      <text>
        <r>
          <rPr>
            <b/>
            <sz val="8"/>
            <color indexed="81"/>
            <rFont val="Tahoma"/>
            <family val="2"/>
            <charset val="238"/>
          </rPr>
          <t>Součet síly 16-ti nejlepších hráčů na turnaji (po stisku tlačítka Vypočti KVALITU turnaje)</t>
        </r>
      </text>
    </comment>
    <comment ref="A4" authorId="0" shapeId="0" xr:uid="{00000000-0006-0000-0700-000003000000}">
      <text>
        <r>
          <rPr>
            <sz val="8"/>
            <color indexed="81"/>
            <rFont val="Tahoma"/>
            <family val="2"/>
            <charset val="238"/>
          </rPr>
          <t>Číslo hráčské licence / prázdné</t>
        </r>
      </text>
    </comment>
    <comment ref="B4" authorId="0" shapeId="0" xr:uid="{00000000-0006-0000-0700-000004000000}">
      <text>
        <r>
          <rPr>
            <sz val="8"/>
            <color indexed="81"/>
            <rFont val="Tahoma"/>
            <family val="2"/>
            <charset val="238"/>
          </rPr>
          <t>Příjmení hráče</t>
        </r>
      </text>
    </comment>
    <comment ref="C4" authorId="0" shapeId="0" xr:uid="{00000000-0006-0000-0700-000005000000}">
      <text>
        <r>
          <rPr>
            <sz val="8"/>
            <color indexed="81"/>
            <rFont val="Tahoma"/>
            <family val="2"/>
            <charset val="238"/>
          </rPr>
          <t>Jméno hráče (s případným rozlišením ml., st.)</t>
        </r>
      </text>
    </comment>
    <comment ref="D4" authorId="0" shapeId="0" xr:uid="{00000000-0006-0000-0700-000006000000}">
      <text>
        <r>
          <rPr>
            <sz val="8"/>
            <color indexed="81"/>
            <rFont val="Tahoma"/>
            <family val="2"/>
            <charset val="238"/>
          </rPr>
          <t>Název klubu (viz Seznam klubů)</t>
        </r>
      </text>
    </comment>
    <comment ref="E4" authorId="0" shapeId="0" xr:uid="{00000000-0006-0000-0700-000007000000}">
      <text>
        <r>
          <rPr>
            <sz val="8"/>
            <color indexed="81"/>
            <rFont val="Tahoma"/>
            <family val="2"/>
            <charset val="238"/>
          </rPr>
          <t>Pořadí na žebříčku</t>
        </r>
      </text>
    </comment>
    <comment ref="F4" authorId="0" shapeId="0" xr:uid="{00000000-0006-0000-0700-000008000000}">
      <text>
        <r>
          <rPr>
            <sz val="8"/>
            <color indexed="81"/>
            <rFont val="Tahoma"/>
            <family val="2"/>
            <charset val="238"/>
          </rPr>
          <t>Síla hráče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G6" authorId="0" shapeId="0" xr:uid="{00000000-0006-0000-0B00-00000100000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D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D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2" authorId="0" shapeId="0" xr:uid="{00000000-0006-0000-0E00-000001000000}">
      <text>
        <r>
          <rPr>
            <b/>
            <sz val="8"/>
            <color indexed="81"/>
            <rFont val="Tahoma"/>
            <family val="2"/>
            <charset val="238"/>
          </rPr>
          <t>Počet týmů ve skupině</t>
        </r>
      </text>
    </comment>
    <comment ref="A3" authorId="0" shapeId="0" xr:uid="{00000000-0006-0000-0E00-000002000000}">
      <text>
        <r>
          <rPr>
            <b/>
            <sz val="8"/>
            <color indexed="81"/>
            <rFont val="Tahoma"/>
            <family val="2"/>
            <charset val="238"/>
          </rPr>
          <t>Počet hřišť pro skupinu</t>
        </r>
      </text>
    </comment>
    <comment ref="A4" authorId="0" shapeId="0" xr:uid="{00000000-0006-0000-0E00-000003000000}">
      <text>
        <r>
          <rPr>
            <b/>
            <sz val="8"/>
            <color indexed="81"/>
            <rFont val="Tahoma"/>
            <family val="2"/>
            <charset val="238"/>
          </rPr>
          <t>Hřiště OD</t>
        </r>
      </text>
    </comment>
    <comment ref="A5" authorId="0" shapeId="0" xr:uid="{00000000-0006-0000-0E00-000004000000}">
      <text>
        <r>
          <rPr>
            <b/>
            <sz val="8"/>
            <color indexed="81"/>
            <rFont val="Tahoma"/>
            <family val="2"/>
            <charset val="238"/>
          </rPr>
          <t>Hřiště DO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R1" authorId="0" shapeId="0" xr:uid="{00000000-0006-0000-1500-000001000000}">
      <text>
        <r>
          <rPr>
            <b/>
            <sz val="8"/>
            <color indexed="81"/>
            <rFont val="Tahoma"/>
            <family val="2"/>
            <charset val="238"/>
          </rPr>
          <t>Hřiště 1</t>
        </r>
      </text>
    </comment>
    <comment ref="S1" authorId="0" shapeId="0" xr:uid="{00000000-0006-0000-1500-000002000000}">
      <text>
        <r>
          <rPr>
            <b/>
            <sz val="8"/>
            <color indexed="81"/>
            <rFont val="Tahoma"/>
            <family val="2"/>
            <charset val="238"/>
          </rPr>
          <t>Hřiště 2</t>
        </r>
      </text>
    </comment>
    <comment ref="T1" authorId="0" shapeId="0" xr:uid="{00000000-0006-0000-1500-000003000000}">
      <text>
        <r>
          <rPr>
            <b/>
            <sz val="8"/>
            <color indexed="81"/>
            <rFont val="Tahoma"/>
            <family val="2"/>
            <charset val="238"/>
          </rPr>
          <t xml:space="preserve">Počet hřišť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N1" authorId="0" shapeId="0" xr:uid="{00000000-0006-0000-3700-00000100000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xr:uid="{00000000-0006-0000-3700-00000200000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xr:uid="{00000000-0006-0000-3700-000003000000}">
      <text>
        <r>
          <rPr>
            <b/>
            <sz val="8"/>
            <color indexed="81"/>
            <rFont val="Tahoma"/>
            <family val="2"/>
            <charset val="238"/>
          </rPr>
          <t>Celkem skupin</t>
        </r>
      </text>
    </comment>
    <comment ref="N2" authorId="0" shapeId="0" xr:uid="{00000000-0006-0000-3700-000004000000}">
      <text>
        <r>
          <rPr>
            <b/>
            <sz val="8"/>
            <color indexed="81"/>
            <rFont val="Tahoma"/>
            <family val="2"/>
            <charset val="238"/>
          </rPr>
          <t>Počet</t>
        </r>
      </text>
    </comment>
    <comment ref="O2" authorId="0" shapeId="0" xr:uid="{00000000-0006-0000-3700-000005000000}">
      <text>
        <r>
          <rPr>
            <b/>
            <sz val="8"/>
            <color indexed="81"/>
            <rFont val="Tahoma"/>
            <family val="2"/>
            <charset val="238"/>
          </rPr>
          <t>Počet</t>
        </r>
        <r>
          <rPr>
            <sz val="8"/>
            <color indexed="81"/>
            <rFont val="Tahoma"/>
            <family val="2"/>
            <charset val="238"/>
          </rPr>
          <t xml:space="preserve">
</t>
        </r>
      </text>
    </comment>
    <comment ref="P2" authorId="0" shapeId="0" xr:uid="{00000000-0006-0000-3700-000006000000}">
      <text>
        <r>
          <rPr>
            <b/>
            <sz val="8"/>
            <color indexed="81"/>
            <rFont val="Tahoma"/>
            <family val="2"/>
            <charset val="238"/>
          </rPr>
          <t xml:space="preserve">Počet týmů
</t>
        </r>
      </text>
    </comment>
  </commentList>
</comments>
</file>

<file path=xl/sharedStrings.xml><?xml version="1.0" encoding="utf-8"?>
<sst xmlns="http://schemas.openxmlformats.org/spreadsheetml/2006/main" count="6243" uniqueCount="2131">
  <si>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</si>
  <si>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</si>
  <si>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</si>
  <si>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</si>
  <si>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</si>
  <si>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</si>
  <si>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</si>
  <si>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</si>
  <si>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</si>
  <si>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</si>
  <si>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</si>
  <si>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</si>
  <si>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</si>
  <si>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</si>
  <si>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</si>
  <si>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</si>
  <si>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</si>
  <si>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</si>
  <si>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</si>
  <si>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</si>
  <si>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</si>
  <si>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</si>
  <si>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</si>
  <si>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</si>
  <si>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</si>
  <si>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</si>
  <si>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</si>
  <si>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</si>
  <si>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</si>
  <si>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</si>
  <si>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</si>
  <si>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</si>
  <si>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</si>
  <si>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</si>
  <si>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</si>
  <si>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</si>
  <si>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</si>
  <si>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</si>
  <si>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</si>
  <si>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</si>
  <si>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</si>
  <si>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</si>
  <si>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</si>
  <si>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</si>
  <si>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</si>
  <si>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</si>
  <si>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</si>
  <si>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</si>
  <si>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</si>
  <si>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</si>
  <si>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</si>
  <si>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</si>
  <si>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</si>
  <si>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</si>
  <si>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</si>
  <si>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</si>
  <si>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</si>
  <si>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</si>
  <si>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</si>
  <si>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</si>
  <si>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</si>
  <si>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</si>
  <si>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</si>
  <si>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</si>
  <si>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</si>
  <si>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</si>
  <si>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</si>
  <si>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</si>
  <si>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</si>
  <si>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</si>
  <si>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</si>
  <si>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</si>
  <si>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</si>
  <si>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</si>
  <si>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</si>
  <si>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</si>
  <si>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</si>
  <si>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</si>
  <si>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</si>
  <si>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</si>
  <si>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</si>
  <si>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</si>
  <si>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</si>
  <si>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</si>
  <si>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</si>
  <si>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</si>
  <si>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</si>
  <si>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</si>
  <si>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</si>
  <si>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</si>
  <si>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</si>
  <si>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</si>
  <si>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</si>
  <si>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</si>
  <si>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</si>
  <si>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</si>
  <si>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</si>
  <si>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</si>
  <si>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</si>
  <si>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</si>
  <si>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</si>
  <si>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</si>
  <si>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</si>
  <si>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</si>
  <si>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</si>
  <si>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</si>
  <si>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</si>
  <si>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</si>
  <si>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</si>
  <si>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</si>
  <si>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</si>
  <si>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</si>
  <si>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</si>
  <si>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</si>
  <si>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</si>
  <si>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</si>
  <si>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</si>
  <si>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</si>
  <si>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</si>
  <si>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</si>
  <si>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</si>
  <si>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</si>
  <si>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</si>
  <si>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</si>
  <si>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</si>
  <si>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</si>
  <si>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</si>
  <si>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</si>
  <si>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</si>
  <si>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</si>
  <si>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</si>
  <si>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</si>
  <si>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</si>
  <si>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</si>
  <si>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</si>
  <si>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</si>
  <si>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</si>
  <si>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</si>
  <si>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</si>
  <si>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</si>
  <si>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</si>
  <si>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</si>
  <si>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</si>
  <si>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</si>
  <si>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</si>
  <si>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</si>
  <si>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</si>
  <si>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</si>
  <si>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</si>
  <si>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</si>
  <si>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</si>
  <si>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</si>
  <si>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</si>
  <si>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</si>
  <si>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</si>
  <si>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</si>
  <si>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</si>
  <si>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</si>
  <si>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</si>
  <si>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</si>
  <si>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</si>
  <si>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</si>
  <si>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</si>
  <si>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</si>
  <si>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</si>
  <si>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</si>
  <si>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</si>
  <si>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</si>
  <si>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</si>
  <si>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</si>
  <si>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</si>
  <si>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</si>
  <si>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</si>
  <si>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</si>
  <si>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</si>
  <si>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</si>
  <si>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</si>
  <si>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</si>
  <si>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</si>
  <si>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</si>
  <si>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</si>
  <si>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</si>
  <si>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</si>
  <si>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</si>
  <si>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</si>
  <si>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</si>
  <si>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</si>
  <si>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</si>
  <si>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</si>
  <si>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</si>
  <si>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</si>
  <si>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</si>
  <si>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</si>
  <si>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</si>
  <si>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</si>
  <si>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</si>
  <si>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</si>
  <si>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</si>
  <si>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</si>
  <si>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</si>
  <si>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</si>
  <si>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</si>
  <si>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</si>
  <si>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</si>
  <si>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</si>
  <si>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</si>
  <si>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</si>
  <si>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</si>
  <si>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</si>
  <si>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</si>
  <si>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</si>
  <si>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</si>
  <si>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</si>
  <si>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</si>
  <si>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</si>
  <si>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</si>
  <si>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</si>
  <si>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</si>
  <si>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</si>
  <si>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</si>
  <si>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</si>
  <si>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</si>
  <si>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</si>
  <si>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</si>
  <si>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</si>
  <si>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</si>
  <si>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</si>
  <si>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</si>
  <si>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</si>
  <si>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</si>
  <si>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</si>
  <si>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</si>
  <si>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</si>
  <si>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</si>
  <si>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</si>
  <si>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</si>
  <si>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</si>
  <si>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</si>
  <si>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</si>
  <si>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</si>
  <si>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</si>
  <si>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</si>
  <si>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</si>
  <si>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</si>
  <si>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</si>
  <si>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</si>
  <si>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</si>
  <si>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</si>
  <si>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</si>
  <si>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</si>
  <si>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</si>
  <si>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</si>
  <si>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</si>
  <si>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</si>
  <si>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</si>
  <si>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</si>
  <si>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</si>
  <si>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</si>
  <si>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</si>
  <si>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</si>
  <si>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</si>
  <si>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</si>
  <si>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</si>
  <si>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</si>
  <si>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</si>
  <si>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</si>
  <si>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</si>
  <si>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</si>
  <si>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</si>
  <si>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</si>
  <si>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</si>
  <si>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</si>
  <si>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</si>
  <si>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</si>
  <si>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</si>
  <si>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</si>
  <si>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</si>
  <si>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</si>
  <si>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</si>
  <si>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</si>
  <si>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</si>
  <si>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</si>
  <si>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</si>
  <si>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</si>
  <si>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</si>
  <si>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</si>
  <si>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</si>
  <si>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</si>
  <si>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</si>
  <si>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</si>
  <si>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</si>
  <si>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</si>
  <si>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</si>
  <si>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</si>
  <si>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</si>
  <si>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</si>
  <si>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</si>
  <si>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</si>
  <si>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</si>
  <si>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</si>
  <si>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</si>
  <si>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</si>
  <si>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</si>
  <si>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</si>
  <si>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</si>
  <si>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</si>
  <si>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</si>
  <si>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</si>
  <si>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</si>
  <si>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</si>
  <si>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</si>
  <si>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</si>
  <si>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</si>
  <si>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</si>
  <si>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</si>
  <si>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</si>
  <si>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</si>
  <si>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</si>
  <si>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</si>
  <si>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</si>
  <si>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</si>
  <si>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</si>
  <si>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</si>
  <si>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</si>
  <si>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</si>
  <si>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</si>
  <si>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</si>
  <si>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</si>
  <si>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</si>
  <si>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</si>
  <si>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</si>
  <si>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</si>
  <si>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</si>
  <si>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</si>
  <si>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</si>
  <si>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</si>
  <si>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</si>
  <si>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</si>
  <si>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</si>
  <si>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</si>
  <si>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</si>
  <si>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</si>
  <si>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</si>
  <si>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</si>
  <si>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</si>
  <si>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</si>
  <si>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</si>
  <si>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</si>
  <si>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</si>
  <si>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</si>
  <si>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</si>
  <si>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</si>
  <si>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</si>
  <si>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</si>
  <si>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</si>
  <si>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</si>
  <si>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</si>
  <si>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</si>
  <si>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</si>
  <si>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</si>
  <si>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</si>
  <si>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</si>
  <si>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</si>
  <si>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</si>
  <si>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</si>
  <si>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</si>
  <si>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</si>
  <si>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</si>
  <si>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</si>
  <si>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</si>
  <si>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</si>
  <si>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</si>
  <si>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</si>
  <si>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</si>
  <si>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</si>
  <si>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</si>
  <si>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</si>
  <si>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</si>
  <si>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</si>
  <si>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</si>
  <si>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</si>
  <si>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</si>
  <si>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</si>
  <si>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</si>
  <si>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</si>
  <si>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</si>
  <si>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</si>
  <si>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</si>
  <si>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</si>
  <si>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</si>
  <si>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</si>
  <si>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</si>
  <si>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</si>
  <si>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</si>
  <si>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</si>
  <si>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</si>
  <si>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</si>
  <si>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</si>
  <si>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</si>
  <si>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</si>
  <si>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</si>
  <si>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</si>
  <si>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</si>
  <si>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</si>
  <si>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</si>
  <si>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</si>
  <si>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</si>
  <si>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</si>
  <si>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</si>
  <si>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</si>
  <si>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</si>
  <si>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</si>
  <si>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</si>
  <si>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</si>
  <si>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</si>
  <si>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</si>
  <si>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</si>
  <si>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</si>
  <si>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</si>
  <si>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</si>
  <si>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</si>
  <si>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</si>
  <si>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</si>
  <si>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</si>
  <si>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</si>
  <si>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</si>
  <si>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</si>
  <si>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</si>
  <si>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</si>
  <si>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</si>
  <si>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</si>
  <si>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</si>
  <si>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</si>
  <si>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</si>
  <si>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</si>
  <si>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</si>
  <si>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</si>
  <si>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</si>
  <si>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</si>
  <si>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</si>
  <si>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</si>
  <si>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</si>
  <si>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</si>
  <si>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</si>
  <si>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</si>
  <si>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</si>
  <si>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</si>
  <si>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</si>
  <si>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</si>
  <si>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</si>
  <si>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</si>
  <si>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</si>
  <si>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</si>
  <si>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</si>
  <si>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</si>
  <si>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</si>
  <si>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</si>
  <si>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</si>
  <si>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</si>
  <si>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</si>
  <si>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</si>
  <si>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</si>
  <si>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</si>
  <si>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</si>
  <si>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</si>
  <si>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</si>
  <si>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</si>
  <si>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</si>
  <si>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</si>
  <si>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</si>
  <si>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</si>
  <si>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</si>
  <si>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</si>
  <si>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</si>
  <si>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</si>
  <si>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</si>
  <si>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</si>
  <si>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</si>
  <si>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</si>
  <si>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</si>
  <si>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</si>
  <si>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</si>
  <si>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</si>
  <si>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</si>
  <si>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</si>
  <si>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</si>
  <si>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</si>
  <si>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</si>
  <si>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</si>
  <si>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</si>
  <si>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</si>
  <si>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</si>
  <si>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</si>
  <si>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</si>
  <si>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</si>
  <si>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</si>
  <si>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</si>
  <si>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</si>
  <si>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</si>
  <si>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</si>
  <si>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</si>
  <si>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</si>
  <si>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</si>
  <si>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</si>
  <si>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</si>
  <si>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</si>
  <si>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</si>
  <si>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</si>
  <si>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</si>
  <si>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</si>
  <si>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</si>
  <si>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</si>
  <si>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</si>
  <si>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</si>
  <si>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</si>
  <si>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</si>
  <si>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</si>
  <si>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</si>
  <si>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</si>
  <si>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</si>
  <si>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</si>
  <si>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</si>
  <si>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</si>
  <si>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</si>
  <si>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</si>
  <si>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</si>
  <si>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</si>
  <si>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</si>
  <si>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</si>
  <si>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</si>
  <si>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</si>
  <si>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</si>
  <si>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</si>
  <si>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</si>
  <si>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</si>
  <si>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</si>
  <si>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</si>
  <si>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</si>
  <si>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</si>
  <si>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</si>
  <si>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</si>
  <si>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</si>
  <si>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</si>
  <si>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</si>
  <si>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</si>
  <si>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</si>
  <si>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</si>
  <si>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</si>
  <si>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</si>
  <si>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</si>
  <si>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</si>
  <si>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</si>
  <si>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</si>
  <si>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</si>
  <si>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</si>
  <si>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</si>
  <si>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</si>
  <si>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</si>
  <si>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</si>
  <si>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</si>
  <si>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</si>
  <si>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</si>
  <si>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</si>
  <si>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</si>
  <si>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</si>
  <si>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</si>
  <si>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</si>
  <si>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</si>
  <si>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</si>
  <si>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</si>
  <si>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</si>
  <si>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</si>
  <si>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</si>
  <si>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</si>
  <si>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</si>
  <si>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</si>
  <si>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</si>
  <si>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</si>
  <si>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</si>
  <si>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</si>
  <si>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</si>
  <si>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</si>
  <si>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</si>
  <si>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</si>
  <si>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</si>
  <si>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</si>
  <si>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</si>
  <si>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</si>
  <si>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</si>
  <si>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</si>
  <si>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</si>
  <si>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</si>
  <si>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</si>
  <si>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</si>
  <si>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</si>
  <si>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</si>
  <si>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</si>
  <si>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</si>
  <si>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</si>
  <si>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</si>
  <si>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</si>
  <si>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</si>
  <si>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</si>
  <si>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</si>
  <si>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</si>
  <si>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</si>
  <si>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</si>
  <si>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</si>
  <si>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</si>
  <si>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</si>
  <si>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</si>
  <si>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</si>
  <si>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</si>
  <si>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</si>
  <si>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</si>
  <si>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</si>
  <si>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</si>
  <si>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</si>
  <si>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</si>
  <si>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</si>
  <si>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</si>
  <si>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</si>
  <si>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</si>
  <si>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</si>
  <si>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</si>
  <si>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</si>
  <si>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</si>
  <si>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</si>
  <si>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</si>
  <si>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</si>
  <si>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</si>
  <si>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</si>
  <si>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</si>
  <si>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</si>
  <si>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</si>
  <si>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</si>
  <si>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</si>
  <si>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</si>
  <si>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</si>
  <si>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</si>
  <si>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</si>
  <si>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</si>
  <si>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</si>
  <si>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</si>
  <si>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</si>
  <si>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</si>
  <si>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</si>
  <si>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</si>
  <si>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</si>
  <si>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</si>
  <si>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</si>
  <si>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</si>
  <si>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</si>
  <si>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</si>
  <si>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</si>
  <si>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</si>
  <si>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</si>
  <si>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</si>
  <si>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</si>
  <si>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</si>
  <si>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</si>
  <si>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</si>
  <si>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</si>
  <si>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</si>
  <si>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</si>
  <si>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</si>
  <si>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</si>
  <si>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</si>
  <si>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</si>
  <si>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</si>
  <si>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</si>
  <si>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</si>
  <si>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</si>
  <si>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</si>
  <si>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</si>
  <si>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</si>
  <si>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</si>
  <si>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</si>
  <si>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</si>
  <si>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</si>
  <si>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</si>
  <si>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</si>
  <si>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</si>
  <si>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</si>
  <si>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</si>
  <si>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</si>
  <si>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</si>
  <si>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</si>
  <si>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</si>
  <si>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</si>
  <si>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</si>
  <si>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</si>
  <si>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</si>
  <si>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</si>
  <si>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</si>
  <si>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</si>
  <si>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</si>
  <si>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</si>
  <si>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</si>
  <si>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</si>
  <si>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</si>
  <si>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</si>
  <si>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</si>
  <si>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</si>
  <si>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</si>
  <si>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</si>
  <si>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</si>
  <si>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</si>
  <si>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</si>
  <si>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</si>
  <si>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</si>
  <si>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</si>
  <si>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</si>
  <si>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</si>
  <si>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</si>
  <si>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</si>
  <si>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</si>
  <si>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</si>
  <si>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</si>
  <si>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</si>
  <si>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</si>
  <si>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</si>
  <si>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</si>
  <si>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</si>
  <si>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</si>
  <si>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</si>
  <si>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</si>
  <si>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</si>
  <si>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</si>
  <si>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</si>
  <si>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</si>
  <si>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</si>
  <si>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</si>
  <si>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</si>
  <si>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</si>
  <si>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</si>
  <si>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</si>
  <si>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</si>
  <si>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</si>
  <si>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</si>
  <si>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</si>
  <si>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</si>
  <si>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</si>
  <si>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</si>
  <si>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</si>
  <si>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</si>
  <si>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</si>
  <si>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</si>
  <si>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</si>
  <si>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</si>
  <si>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</si>
  <si>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</si>
  <si>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</si>
  <si>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</si>
  <si>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</si>
  <si>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</si>
  <si>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</si>
  <si>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</si>
  <si>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</si>
  <si>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</si>
  <si>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</si>
  <si>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</si>
  <si>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</si>
  <si>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</si>
  <si>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</si>
  <si>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</si>
  <si>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</si>
  <si>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</si>
  <si>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</si>
  <si>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</si>
  <si>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</si>
  <si>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</si>
  <si>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</si>
  <si>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</si>
  <si>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</si>
  <si>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</si>
  <si>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</si>
  <si>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</si>
  <si>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</si>
  <si>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</si>
  <si>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</si>
  <si>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</si>
  <si>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</si>
  <si>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</si>
  <si>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</si>
  <si>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</si>
  <si>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</si>
  <si>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</si>
  <si>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</si>
  <si>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</si>
  <si>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</si>
  <si>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</si>
  <si>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</si>
  <si>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</si>
  <si>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</si>
  <si>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</si>
  <si>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</si>
  <si>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</si>
  <si>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</si>
  <si>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</si>
  <si>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</si>
  <si>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</si>
  <si>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</si>
  <si>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</si>
  <si>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</si>
  <si>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</si>
  <si>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</si>
  <si>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</si>
  <si>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</si>
  <si>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</si>
  <si>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</si>
  <si>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</si>
  <si>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</si>
  <si>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</si>
  <si>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</si>
  <si>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</si>
  <si>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</si>
  <si>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</si>
  <si>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</si>
  <si>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</si>
  <si>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</si>
  <si>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</si>
  <si>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</si>
  <si>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</si>
  <si>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</si>
  <si>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</si>
  <si>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</si>
  <si>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</si>
  <si>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</si>
  <si>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</si>
  <si>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</si>
  <si>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</si>
  <si>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</si>
  <si>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</si>
  <si>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</si>
  <si>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</si>
  <si>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</si>
  <si>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</si>
  <si>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</si>
  <si>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</si>
  <si>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</si>
  <si>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</si>
  <si>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</si>
  <si>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</si>
  <si>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</si>
  <si>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</si>
  <si>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</si>
  <si>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</si>
  <si>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</si>
  <si>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</si>
  <si>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</si>
  <si>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</si>
  <si>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</si>
  <si>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</si>
  <si>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</si>
  <si>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</si>
  <si>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</si>
  <si>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</si>
  <si>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</si>
  <si>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</si>
  <si>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</si>
  <si>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</si>
  <si>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</si>
  <si>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</si>
  <si>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</si>
  <si>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</si>
  <si>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</si>
  <si>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</si>
  <si>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</si>
  <si>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</si>
  <si>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</si>
  <si>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</si>
  <si>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</si>
  <si>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</si>
  <si>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</si>
  <si>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</si>
  <si>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</si>
  <si>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</si>
  <si>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</si>
  <si>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</si>
  <si>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</si>
  <si>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</si>
  <si>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</si>
  <si>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</si>
  <si>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</si>
  <si>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</si>
  <si>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</si>
  <si>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</si>
  <si>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</si>
  <si>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</si>
  <si>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</si>
  <si>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</si>
  <si>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</si>
  <si>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</si>
  <si>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</si>
  <si>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</si>
  <si>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</si>
  <si>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</si>
  <si>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</si>
  <si>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</si>
  <si>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</si>
  <si>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</si>
  <si>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</si>
  <si>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</si>
  <si>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</si>
  <si>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</si>
  <si>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</si>
  <si>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</si>
  <si>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</si>
  <si>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</si>
  <si>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</si>
  <si>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</si>
  <si>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</si>
  <si>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</si>
  <si>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</si>
  <si>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</si>
  <si>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</si>
  <si>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</si>
  <si>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</si>
  <si>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</si>
  <si>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</si>
  <si>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</si>
  <si>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</si>
  <si>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</si>
  <si>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</si>
  <si>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</si>
  <si>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</si>
  <si>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</si>
  <si>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</si>
  <si>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</si>
  <si>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</si>
  <si>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</si>
  <si>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</si>
  <si>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</si>
  <si>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</si>
  <si>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</si>
  <si>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</si>
  <si>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</si>
  <si>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</si>
  <si>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</si>
  <si>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</si>
  <si>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</si>
  <si>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</si>
  <si>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</si>
  <si>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</si>
  <si>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</si>
  <si>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</si>
  <si>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</si>
  <si>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</si>
  <si>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</si>
  <si>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</si>
  <si>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</si>
  <si>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</si>
  <si>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</si>
  <si>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</si>
  <si>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</si>
  <si>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</si>
  <si>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</si>
  <si>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</si>
  <si>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</si>
  <si>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</si>
  <si>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</si>
  <si>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</si>
  <si>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</si>
  <si>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</si>
  <si>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</si>
  <si>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</si>
  <si>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</si>
  <si>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</si>
  <si>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</si>
  <si>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</si>
  <si>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</si>
  <si>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</si>
  <si>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</si>
  <si>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</si>
  <si>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</si>
  <si>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</si>
  <si>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</si>
  <si>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</si>
  <si>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</si>
  <si>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</si>
  <si>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</si>
  <si>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</si>
  <si>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</si>
  <si>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</si>
  <si>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</si>
  <si>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</si>
  <si>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</si>
  <si>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</si>
  <si>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</si>
  <si>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</si>
  <si>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</si>
  <si>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</si>
  <si>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</si>
  <si>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</si>
  <si>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</si>
  <si>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</si>
  <si>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</si>
  <si>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</si>
  <si>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</si>
  <si>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</si>
  <si>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</si>
  <si>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</si>
  <si>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</si>
  <si>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</si>
  <si>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</si>
  <si>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</si>
  <si>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</si>
  <si>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</si>
  <si>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</si>
  <si>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</si>
  <si>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</si>
  <si>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</si>
  <si>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</si>
  <si>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</si>
  <si>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</si>
  <si>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</si>
  <si>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</si>
  <si>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</si>
  <si>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</si>
  <si>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</si>
  <si>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</si>
  <si>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</si>
  <si>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</si>
  <si>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</si>
  <si>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</si>
  <si>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</si>
  <si>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</si>
  <si>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</si>
  <si>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</si>
  <si>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</si>
  <si>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</si>
  <si>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</si>
  <si>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</si>
  <si>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</si>
  <si>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</si>
  <si>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</si>
  <si>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</si>
  <si>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</si>
  <si>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</si>
  <si>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</si>
  <si>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</si>
  <si>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</si>
  <si>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</si>
  <si>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</si>
  <si>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</si>
  <si>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</si>
  <si>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</si>
  <si>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</si>
  <si>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</si>
  <si>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</si>
  <si>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</si>
  <si>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</si>
  <si>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</si>
  <si>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</si>
  <si>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</si>
  <si>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</si>
  <si>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</si>
  <si>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</si>
  <si>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</si>
  <si>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</si>
  <si>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</si>
  <si>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</si>
  <si>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</si>
  <si>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</si>
  <si>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</si>
  <si>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</si>
  <si>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</si>
  <si>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</si>
  <si>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</si>
  <si>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</si>
  <si>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</si>
  <si>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</si>
  <si>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</si>
  <si>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</si>
  <si>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</si>
  <si>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</si>
  <si>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</si>
  <si>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</si>
  <si>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</si>
  <si>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</si>
  <si>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</si>
  <si>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</si>
  <si>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</si>
  <si>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</si>
  <si>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</si>
  <si>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</si>
  <si>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</si>
  <si>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</si>
  <si>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</si>
  <si>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</si>
  <si>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</si>
  <si>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</si>
  <si>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</si>
  <si>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</si>
  <si>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</si>
  <si>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</si>
  <si>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</si>
  <si>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</si>
  <si>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</si>
  <si>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</si>
  <si>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</si>
  <si>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</si>
  <si>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</si>
  <si>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</si>
  <si>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</si>
  <si>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</si>
  <si>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</si>
  <si>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</si>
  <si>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</si>
  <si>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</si>
  <si>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</si>
  <si>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</si>
  <si>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</si>
  <si>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</si>
  <si>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</si>
  <si>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</si>
  <si>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</si>
  <si>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</si>
  <si>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</si>
  <si>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</si>
  <si>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</si>
  <si>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</si>
  <si>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</si>
  <si>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</si>
  <si>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</si>
  <si>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</si>
  <si>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</si>
  <si>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</si>
  <si>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</si>
  <si>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</si>
  <si>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</si>
  <si>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</si>
  <si>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</si>
  <si>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</si>
  <si>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</si>
  <si>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</si>
  <si>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</si>
  <si>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</si>
  <si>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</si>
  <si>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</si>
  <si>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</si>
  <si>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</si>
  <si>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</si>
  <si>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</si>
  <si>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</si>
  <si>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</si>
  <si>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</si>
  <si>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</si>
  <si>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</si>
  <si>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</si>
  <si>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</si>
  <si>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</si>
  <si>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</si>
  <si>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</si>
  <si>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</si>
  <si>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</si>
  <si>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</si>
  <si>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</si>
  <si>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</si>
  <si>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</si>
  <si>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</si>
  <si>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</si>
  <si>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</si>
  <si>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</si>
  <si>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</si>
  <si>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</si>
  <si>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</si>
  <si>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</si>
  <si>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</si>
  <si>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</si>
  <si>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</si>
  <si>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</si>
  <si>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</si>
  <si>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</si>
  <si>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</si>
  <si>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</si>
  <si>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</si>
  <si>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</si>
  <si>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</si>
  <si>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</si>
  <si>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</si>
  <si>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</si>
  <si>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</si>
  <si>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</si>
  <si>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</si>
  <si>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</si>
  <si>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</si>
  <si>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</si>
  <si>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</si>
  <si>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</si>
  <si>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</si>
  <si>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</si>
  <si>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</si>
  <si>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</si>
  <si>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</si>
  <si>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</si>
  <si>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</si>
  <si>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</si>
  <si>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</si>
  <si>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</si>
  <si>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</si>
  <si>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</si>
  <si>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</si>
  <si>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</si>
  <si>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</si>
  <si>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</si>
  <si>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</si>
  <si>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</si>
  <si>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</si>
  <si>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</si>
  <si>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</si>
  <si>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</si>
  <si>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</si>
  <si>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</si>
  <si>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</si>
  <si>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</si>
  <si>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</si>
  <si>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</si>
  <si>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</si>
  <si>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</si>
  <si>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</si>
  <si>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</si>
  <si>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</si>
  <si>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</si>
  <si>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</si>
  <si>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</si>
  <si>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</si>
  <si>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</si>
  <si>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</si>
  <si>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</si>
  <si>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</si>
  <si>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</si>
  <si>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</si>
  <si>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</si>
  <si>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</si>
  <si>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</si>
  <si>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</si>
  <si>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</si>
  <si>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</si>
  <si>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</si>
  <si>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</si>
  <si>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</si>
  <si>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</si>
  <si>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</si>
  <si>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</si>
  <si>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</si>
  <si>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</si>
  <si>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</si>
  <si>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</si>
  <si>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</si>
  <si>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</si>
  <si>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</si>
  <si>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</si>
  <si>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</si>
  <si>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</si>
  <si>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</si>
  <si>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</si>
  <si>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</si>
  <si>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</si>
  <si>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</si>
  <si>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</si>
  <si>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</si>
  <si>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</si>
  <si>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</si>
  <si>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</si>
  <si>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</si>
  <si>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</si>
  <si>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</si>
  <si>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</si>
  <si>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</si>
  <si>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</si>
  <si>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</si>
  <si>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</si>
  <si>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</si>
  <si>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</si>
  <si>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</si>
  <si>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</si>
  <si>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</si>
  <si>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</si>
  <si>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</si>
  <si>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</si>
  <si>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</si>
  <si>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</si>
  <si>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</si>
  <si>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</si>
  <si>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</si>
  <si>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</si>
  <si>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</si>
  <si>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</si>
  <si>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</si>
  <si>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</si>
  <si>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</si>
  <si>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</si>
  <si>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</si>
  <si>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</si>
  <si>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</si>
  <si>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</si>
  <si>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</si>
  <si>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</si>
  <si>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</si>
  <si>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</si>
  <si>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</si>
  <si>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</si>
  <si>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</si>
  <si>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</si>
  <si>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</si>
  <si>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</si>
  <si>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</si>
  <si>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</si>
  <si>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</si>
  <si>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</si>
  <si>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</si>
  <si>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</si>
  <si>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</si>
  <si>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</si>
  <si>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</si>
  <si>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</si>
  <si>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</si>
  <si>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</si>
  <si>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</si>
  <si>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</si>
  <si>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</si>
  <si>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</si>
  <si>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</si>
  <si>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</si>
  <si>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</si>
  <si>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</si>
  <si>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</si>
  <si>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</si>
  <si>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</si>
  <si>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</si>
  <si>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</si>
  <si>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</si>
  <si>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</si>
  <si>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</si>
  <si>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</si>
  <si>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</si>
  <si>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</si>
  <si>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</si>
  <si>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</si>
  <si>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</si>
  <si>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</si>
  <si>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</si>
  <si>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</si>
  <si>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</si>
  <si>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</si>
  <si>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</si>
  <si>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</si>
  <si>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</si>
  <si>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</si>
  <si>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</si>
  <si>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</si>
  <si>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</si>
  <si>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</si>
  <si>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</si>
  <si>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</si>
  <si>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</si>
  <si>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</si>
  <si>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</si>
  <si>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</si>
  <si>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</si>
  <si>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</si>
  <si>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</si>
  <si>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</si>
  <si>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</si>
  <si>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</si>
  <si>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</si>
  <si>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</si>
  <si>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</si>
  <si>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</si>
  <si>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</si>
  <si>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</si>
  <si>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</si>
  <si>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</si>
  <si>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</si>
  <si>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</si>
  <si>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</si>
  <si>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</si>
  <si>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</si>
  <si>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</si>
  <si>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</si>
  <si>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</si>
  <si>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</si>
  <si>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</si>
  <si>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</si>
  <si>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</si>
  <si>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</si>
  <si>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</si>
  <si>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</si>
  <si>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</si>
  <si>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</si>
  <si>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</si>
  <si>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</si>
  <si>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</si>
  <si>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</si>
  <si>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</si>
  <si>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</si>
  <si>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</si>
  <si>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</si>
  <si>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</si>
  <si>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</si>
  <si>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</si>
  <si>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</si>
  <si>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</si>
  <si>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</si>
  <si>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</si>
  <si>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</si>
  <si>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</si>
  <si>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</si>
  <si>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</si>
  <si>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</si>
  <si>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</si>
  <si>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</si>
  <si>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</si>
  <si>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</si>
  <si>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Hrabyňský kanón</t>
  </si>
  <si>
    <t>Hrabyně</t>
  </si>
  <si>
    <t>PC Hrabyně</t>
  </si>
  <si>
    <t>MČR 65 plus</t>
  </si>
  <si>
    <t>16.06.2024</t>
  </si>
  <si>
    <t>MČR 55 plus</t>
  </si>
  <si>
    <t>22.06.2024</t>
  </si>
  <si>
    <t>4. Ježkova SKoule</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</si>
  <si>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</si>
  <si>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</si>
  <si>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</si>
  <si>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</si>
  <si>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</si>
  <si>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</si>
  <si>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</si>
  <si>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</si>
  <si>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</si>
  <si>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</si>
  <si>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</si>
  <si>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</si>
  <si>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</si>
  <si>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</si>
  <si>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</si>
  <si>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</si>
  <si>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</si>
  <si>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</si>
  <si>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</si>
  <si>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</si>
  <si>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</si>
  <si>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</si>
  <si>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</si>
  <si>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</si>
  <si>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</si>
  <si>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</si>
  <si>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</si>
  <si>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</si>
  <si>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</si>
  <si>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</si>
  <si>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</si>
  <si>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</si>
  <si>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</si>
  <si>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</si>
  <si>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</si>
  <si>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</si>
  <si>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</si>
  <si>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</si>
  <si>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</si>
  <si>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</si>
  <si>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</si>
  <si>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</si>
  <si>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</si>
  <si>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</si>
  <si>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</si>
  <si>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</si>
  <si>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</si>
  <si>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</si>
  <si>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</si>
  <si>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</si>
  <si>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</si>
  <si>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</si>
  <si>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</si>
  <si>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</si>
  <si>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</si>
  <si>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</si>
  <si>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</si>
  <si>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</si>
  <si>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</si>
  <si>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</si>
  <si>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</si>
  <si>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</si>
  <si>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</si>
  <si>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</si>
  <si>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</si>
  <si>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</si>
  <si>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</si>
  <si>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</si>
  <si>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</si>
  <si>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</si>
  <si>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</si>
  <si>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</si>
  <si>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</si>
  <si>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</si>
  <si>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</si>
  <si>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</si>
  <si>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</si>
  <si>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</si>
  <si>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</si>
  <si>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</si>
  <si>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</si>
  <si>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</si>
  <si>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</si>
  <si>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</si>
  <si>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</si>
  <si>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</si>
  <si>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</si>
  <si>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</si>
  <si>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</si>
  <si>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</si>
  <si>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</si>
  <si>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</si>
  <si>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</si>
  <si>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</si>
  <si>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</si>
  <si>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</si>
  <si>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</si>
  <si>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</si>
  <si>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</si>
  <si>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</si>
  <si>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</si>
  <si>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</si>
  <si>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</si>
  <si>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</si>
  <si>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</si>
  <si>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</si>
  <si>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</si>
  <si>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</si>
  <si>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</si>
  <si>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</si>
  <si>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</si>
  <si>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</si>
  <si>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</si>
  <si>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</si>
  <si>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</si>
  <si>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</si>
  <si>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</si>
  <si>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</si>
  <si>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</si>
  <si>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</si>
  <si>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</si>
  <si>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</si>
  <si>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</si>
  <si>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</si>
  <si>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</si>
  <si>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</si>
  <si>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</si>
  <si>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</si>
  <si>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</si>
  <si>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</si>
  <si>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</si>
  <si>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</si>
  <si>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</si>
  <si>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</si>
  <si>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</si>
  <si>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</si>
  <si>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</si>
  <si>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</si>
  <si>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</si>
  <si>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</si>
  <si>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</si>
  <si>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</si>
  <si>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</si>
  <si>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</si>
  <si>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</si>
  <si>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</si>
  <si>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</si>
  <si>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</si>
  <si>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</si>
  <si>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</si>
  <si>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</si>
  <si>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</si>
  <si>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</si>
  <si>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</si>
  <si>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</si>
  <si>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</si>
  <si>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</si>
  <si>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</si>
  <si>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</si>
  <si>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</si>
  <si>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</si>
  <si>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</si>
  <si>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</si>
  <si>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</si>
  <si>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</si>
  <si>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</si>
  <si>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</si>
  <si>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</si>
  <si>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</si>
  <si>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</si>
  <si>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</si>
  <si>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</si>
  <si>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</si>
  <si>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</si>
  <si>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</si>
  <si>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</si>
  <si>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</si>
  <si>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</si>
  <si>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</si>
  <si>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</si>
  <si>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</si>
  <si>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</si>
  <si>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</si>
  <si>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</si>
  <si>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</si>
  <si>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</si>
  <si>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</si>
  <si>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</si>
  <si>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</si>
  <si>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</si>
  <si>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</si>
  <si>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</si>
  <si>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</si>
  <si>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</si>
  <si>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</si>
  <si>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</si>
  <si>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</si>
  <si>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</si>
  <si>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</si>
  <si>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</si>
  <si>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</si>
  <si>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</si>
  <si>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</si>
  <si>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</si>
  <si>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</si>
  <si>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</si>
  <si>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</si>
  <si>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</si>
  <si>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</si>
  <si>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</si>
  <si>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</si>
  <si>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</si>
  <si>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</si>
  <si>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</si>
  <si>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</si>
  <si>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</si>
  <si>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</si>
  <si>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</si>
  <si>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</si>
  <si>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</si>
  <si>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</si>
  <si>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</si>
  <si>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</si>
  <si>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</si>
  <si>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</si>
  <si>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</si>
  <si>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</si>
  <si>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</si>
  <si>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</si>
  <si>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</si>
  <si>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</si>
  <si>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</si>
  <si>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</si>
  <si>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</si>
  <si>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</si>
  <si>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</si>
  <si>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</si>
  <si>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</si>
  <si>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</si>
  <si>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</si>
  <si>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</si>
  <si>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</si>
  <si>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</si>
  <si>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</si>
  <si>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</si>
  <si>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</si>
  <si>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</si>
  <si>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</si>
  <si>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</si>
  <si>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</si>
  <si>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</si>
  <si>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</si>
  <si>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</si>
  <si>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</si>
  <si>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</si>
  <si>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</si>
  <si>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</si>
  <si>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</si>
  <si>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</si>
  <si>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</si>
  <si>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</si>
  <si>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</si>
  <si>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</si>
  <si>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</si>
  <si>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</si>
  <si>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</si>
  <si>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</si>
  <si>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</si>
  <si>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</si>
  <si>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</si>
  <si>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</si>
  <si>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</si>
  <si>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</si>
  <si>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</si>
  <si>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</si>
  <si>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</si>
  <si>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</si>
  <si>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</si>
  <si>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</si>
  <si>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</si>
  <si>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59</t>
  </si>
  <si>
    <t>MČR</t>
  </si>
  <si>
    <t>Pořádá PSK Jihlava</t>
  </si>
  <si>
    <t>••• trojice</t>
  </si>
  <si>
    <t>Č. licence</t>
  </si>
  <si>
    <t>Příjmení a jméno Odhlásit tým</t>
  </si>
  <si>
    <t>Síla: 171</t>
  </si>
  <si>
    <t>Tomáš Michálek</t>
  </si>
  <si>
    <t>52.000</t>
  </si>
  <si>
    <t>Vojtěch Lukáš</t>
  </si>
  <si>
    <t>58.000</t>
  </si>
  <si>
    <t>Petr Vavrovič ml.</t>
  </si>
  <si>
    <t>61.000</t>
  </si>
  <si>
    <t>Síla: 143.125</t>
  </si>
  <si>
    <t>Kateřina Froňková</t>
  </si>
  <si>
    <t>Michal Zdobinský "E"</t>
  </si>
  <si>
    <t>40.625</t>
  </si>
  <si>
    <t>Lukáš Michalička</t>
  </si>
  <si>
    <t>50.500</t>
  </si>
  <si>
    <t>Síla: 135.313</t>
  </si>
  <si>
    <t>Jakub Konšel</t>
  </si>
  <si>
    <t>34.375</t>
  </si>
  <si>
    <t>Ivo Michálek</t>
  </si>
  <si>
    <t>Jan Michálek</t>
  </si>
  <si>
    <t>42.938</t>
  </si>
  <si>
    <t>Síla: 135</t>
  </si>
  <si>
    <t>Jan Resl</t>
  </si>
  <si>
    <t>38.250</t>
  </si>
  <si>
    <t>Lukáš Valenz</t>
  </si>
  <si>
    <t>47.000</t>
  </si>
  <si>
    <t>Jindřich Kauca st.</t>
  </si>
  <si>
    <t>49.750</t>
  </si>
  <si>
    <t>Síla: 133.25</t>
  </si>
  <si>
    <t>David Bačo</t>
  </si>
  <si>
    <t>45.000</t>
  </si>
  <si>
    <t>Petr Fafek</t>
  </si>
  <si>
    <t>47.750</t>
  </si>
  <si>
    <t>Petr Vavrovič st.</t>
  </si>
  <si>
    <t>40.500</t>
  </si>
  <si>
    <t>Síla: 118.813</t>
  </si>
  <si>
    <t>Ivana Dlouhá</t>
  </si>
  <si>
    <t>43.500</t>
  </si>
  <si>
    <t>Kateřina Tintěrová</t>
  </si>
  <si>
    <t>32.563</t>
  </si>
  <si>
    <t>Josef Kamaryt</t>
  </si>
  <si>
    <t>42.750</t>
  </si>
  <si>
    <t>Síla: 116.688</t>
  </si>
  <si>
    <t>Bohuslav Motl</t>
  </si>
  <si>
    <t>HRODE Krumsín</t>
  </si>
  <si>
    <t>34.938</t>
  </si>
  <si>
    <t>Martin Pírek</t>
  </si>
  <si>
    <t>42.250</t>
  </si>
  <si>
    <t>Miroslav Krpec</t>
  </si>
  <si>
    <t>39.500</t>
  </si>
  <si>
    <t>Síla: 107.001</t>
  </si>
  <si>
    <t>Filip Vedral "E"</t>
  </si>
  <si>
    <t>Patrik Daněk "E"</t>
  </si>
  <si>
    <t>33.938</t>
  </si>
  <si>
    <t>Martin Hájek ml. "E"</t>
  </si>
  <si>
    <t>33.563</t>
  </si>
  <si>
    <t>Robin Konšel "E"</t>
  </si>
  <si>
    <t>31.250</t>
  </si>
  <si>
    <t>Síla: 106.125</t>
  </si>
  <si>
    <t>Michaela Dudašková "E"</t>
  </si>
  <si>
    <t>28.375</t>
  </si>
  <si>
    <t>Blanka Froňková</t>
  </si>
  <si>
    <t>32.500</t>
  </si>
  <si>
    <t>Sára Valošková "J"</t>
  </si>
  <si>
    <t>45.250</t>
  </si>
  <si>
    <t>Síla: 104.875</t>
  </si>
  <si>
    <t>Miloslava Kutá</t>
  </si>
  <si>
    <t>SKP Hranice VI.-Valšovice</t>
  </si>
  <si>
    <t>39.250</t>
  </si>
  <si>
    <t>Lenka Svobodová</t>
  </si>
  <si>
    <t>25.250</t>
  </si>
  <si>
    <t>Petr Tománek</t>
  </si>
  <si>
    <t>40.375</t>
  </si>
  <si>
    <t>Síla: 104.751</t>
  </si>
  <si>
    <t>Michael Brandes "J"</t>
  </si>
  <si>
    <t>37.500</t>
  </si>
  <si>
    <t>Antonín Čiviš "J"</t>
  </si>
  <si>
    <t>33.126</t>
  </si>
  <si>
    <t>Hugo Valošek "J"</t>
  </si>
  <si>
    <t>34.125</t>
  </si>
  <si>
    <t>Simon Rousek "J"</t>
  </si>
  <si>
    <t>27.626</t>
  </si>
  <si>
    <t>Síla: 100.626</t>
  </si>
  <si>
    <t>Pavel Hanák</t>
  </si>
  <si>
    <t>34.563</t>
  </si>
  <si>
    <t>František Krpec</t>
  </si>
  <si>
    <t>30.063</t>
  </si>
  <si>
    <t>Petr Janík</t>
  </si>
  <si>
    <t>36.000</t>
  </si>
  <si>
    <t>Síla: 99.344</t>
  </si>
  <si>
    <t>Radim Valošek</t>
  </si>
  <si>
    <t>29.719</t>
  </si>
  <si>
    <t>Valter Brandes</t>
  </si>
  <si>
    <t>35.375</t>
  </si>
  <si>
    <t>Jiří Ulmann</t>
  </si>
  <si>
    <t>34.250</t>
  </si>
  <si>
    <t>Síla: 95.815</t>
  </si>
  <si>
    <t>Veronika Geislerová "E"</t>
  </si>
  <si>
    <t>36.751</t>
  </si>
  <si>
    <t>Iveta Hájková</t>
  </si>
  <si>
    <t>28.251</t>
  </si>
  <si>
    <t>Karolína Zdobinská "E"</t>
  </si>
  <si>
    <t>30.813</t>
  </si>
  <si>
    <t>nevyplněno</t>
  </si>
  <si>
    <t>  </t>
  </si>
  <si>
    <t>Síla: 94.314</t>
  </si>
  <si>
    <t>Alice Hančová</t>
  </si>
  <si>
    <t>32.250</t>
  </si>
  <si>
    <t>Jana Radoušová</t>
  </si>
  <si>
    <t>31.563</t>
  </si>
  <si>
    <t>Jana Krpcová</t>
  </si>
  <si>
    <t>30.501</t>
  </si>
  <si>
    <t>Dana Tomášková</t>
  </si>
  <si>
    <t>28.000</t>
  </si>
  <si>
    <t>Síla: 93.97</t>
  </si>
  <si>
    <t>Pavel Bureš st.</t>
  </si>
  <si>
    <t>31.220</t>
  </si>
  <si>
    <t>Robert Paulík</t>
  </si>
  <si>
    <t>33.750</t>
  </si>
  <si>
    <t>Vladimír Vašíček</t>
  </si>
  <si>
    <t>29.000</t>
  </si>
  <si>
    <t>Síla: 93.157</t>
  </si>
  <si>
    <t>Jiřina Demčíková</t>
  </si>
  <si>
    <t>44.750</t>
  </si>
  <si>
    <t>Pavel Král</t>
  </si>
  <si>
    <t>27.282</t>
  </si>
  <si>
    <t>Zdeněk Handl</t>
  </si>
  <si>
    <t>21.125</t>
  </si>
  <si>
    <t>Síla: 92.625</t>
  </si>
  <si>
    <t>Vladimír Brázda</t>
  </si>
  <si>
    <t>Maryana Khrystyna Semeniv</t>
  </si>
  <si>
    <t>42.500</t>
  </si>
  <si>
    <t>Štěpán Kobr "J"</t>
  </si>
  <si>
    <t>10.625</t>
  </si>
  <si>
    <t>Síla: 91.283</t>
  </si>
  <si>
    <t>Jiří Gratcl</t>
  </si>
  <si>
    <t>31.282</t>
  </si>
  <si>
    <t>Zbyněk Jakeš</t>
  </si>
  <si>
    <t>38.625</t>
  </si>
  <si>
    <t>Robert Janeček</t>
  </si>
  <si>
    <t>21.376</t>
  </si>
  <si>
    <t>Síla: 90.751</t>
  </si>
  <si>
    <t>Boris Alfred Pellizon</t>
  </si>
  <si>
    <t>22.688</t>
  </si>
  <si>
    <t>Roman Bytešník</t>
  </si>
  <si>
    <t>30.438</t>
  </si>
  <si>
    <t>Jakub Rendla</t>
  </si>
  <si>
    <t>37.625</t>
  </si>
  <si>
    <t>Síla: 89.063</t>
  </si>
  <si>
    <t>Franck Ferlay</t>
  </si>
  <si>
    <t>8.313</t>
  </si>
  <si>
    <t>Michal Štěpánek</t>
  </si>
  <si>
    <t>41.250</t>
  </si>
  <si>
    <t>Petr Juráň</t>
  </si>
  <si>
    <t>Síla: 86.907</t>
  </si>
  <si>
    <t>Jindřiška Sekerešová "J"</t>
  </si>
  <si>
    <t>23.282</t>
  </si>
  <si>
    <t>Jan Heller "E"</t>
  </si>
  <si>
    <t>PC Mimo Done Nymburk</t>
  </si>
  <si>
    <t>30.375</t>
  </si>
  <si>
    <t>Petr Morávek</t>
  </si>
  <si>
    <t>33.250</t>
  </si>
  <si>
    <t>Síla: 86.876</t>
  </si>
  <si>
    <t>Petr Lukáš</t>
  </si>
  <si>
    <t>Jana Lukášová</t>
  </si>
  <si>
    <t>20.938</t>
  </si>
  <si>
    <t>Václav Valík</t>
  </si>
  <si>
    <t>26.438</t>
  </si>
  <si>
    <t>Síla: 86.126</t>
  </si>
  <si>
    <t>Martin Šternberg</t>
  </si>
  <si>
    <t>Zuzana Malá</t>
  </si>
  <si>
    <t>24.501</t>
  </si>
  <si>
    <t>Pavel Palas</t>
  </si>
  <si>
    <t>29.125</t>
  </si>
  <si>
    <t>Síla: 83.815</t>
  </si>
  <si>
    <t>Terezie Strouhalová "E"</t>
  </si>
  <si>
    <t>27.314</t>
  </si>
  <si>
    <t>Lukáš Merta</t>
  </si>
  <si>
    <t>32.625</t>
  </si>
  <si>
    <t>Oldřích Kutra</t>
  </si>
  <si>
    <t>23.876</t>
  </si>
  <si>
    <t>Síla: 83</t>
  </si>
  <si>
    <t>Jiří Koreš st.</t>
  </si>
  <si>
    <t>41.000</t>
  </si>
  <si>
    <t>Radek Netušil</t>
  </si>
  <si>
    <t>30.000</t>
  </si>
  <si>
    <t>Jiří Koreš ml.</t>
  </si>
  <si>
    <t>12.000</t>
  </si>
  <si>
    <t>Síla: 82.939</t>
  </si>
  <si>
    <t>Roman Kapeš</t>
  </si>
  <si>
    <t>8.064</t>
  </si>
  <si>
    <t>Hynek Vyoral</t>
  </si>
  <si>
    <t>31.000</t>
  </si>
  <si>
    <t>Jiří Froněk st.</t>
  </si>
  <si>
    <t>43.875</t>
  </si>
  <si>
    <t>Síla: 82.44</t>
  </si>
  <si>
    <t>Barbora Kašparová</t>
  </si>
  <si>
    <t>Tomáš Klír</t>
  </si>
  <si>
    <t>18.690</t>
  </si>
  <si>
    <t>Aleš Klouda</t>
  </si>
  <si>
    <t>32.750</t>
  </si>
  <si>
    <t>Síla: 82.438</t>
  </si>
  <si>
    <t>Jiří Grepl</t>
  </si>
  <si>
    <t>39.125</t>
  </si>
  <si>
    <t>Franjo Kvítek</t>
  </si>
  <si>
    <t>9.625</t>
  </si>
  <si>
    <t>Radek Skopal</t>
  </si>
  <si>
    <t>33.688</t>
  </si>
  <si>
    <t>Síla: 81.627</t>
  </si>
  <si>
    <t>Leoš Krejčín</t>
  </si>
  <si>
    <t>26.188</t>
  </si>
  <si>
    <t>Miloš Přibyl</t>
  </si>
  <si>
    <t>25.376</t>
  </si>
  <si>
    <t>Milena Krejčínová</t>
  </si>
  <si>
    <t>Síla: 80.69</t>
  </si>
  <si>
    <t>Lucie Šídlová</t>
  </si>
  <si>
    <t>44.250</t>
  </si>
  <si>
    <t>Jan Kára</t>
  </si>
  <si>
    <t>13.814</t>
  </si>
  <si>
    <t>Kamil Žárský</t>
  </si>
  <si>
    <t>22.626</t>
  </si>
  <si>
    <t>Síla: 80.564</t>
  </si>
  <si>
    <t>Jan Maňák</t>
  </si>
  <si>
    <t>26.375</t>
  </si>
  <si>
    <t>Pavel Dostál</t>
  </si>
  <si>
    <t>20.439</t>
  </si>
  <si>
    <t>Václav Stejskal</t>
  </si>
  <si>
    <t>Síla: 77.533</t>
  </si>
  <si>
    <t>Eliška Ptáčková</t>
  </si>
  <si>
    <t>31.688</t>
  </si>
  <si>
    <t>Luboš Ptáček</t>
  </si>
  <si>
    <t>28.813</t>
  </si>
  <si>
    <t>Rozálie Rusková "J"</t>
  </si>
  <si>
    <t>17.032</t>
  </si>
  <si>
    <t>Síla: 74.033</t>
  </si>
  <si>
    <t>Tomáš Jirkovský</t>
  </si>
  <si>
    <t>25.407</t>
  </si>
  <si>
    <t>Karel Mrlina</t>
  </si>
  <si>
    <t>23.438</t>
  </si>
  <si>
    <t>Jiří Šipr</t>
  </si>
  <si>
    <t>25.188</t>
  </si>
  <si>
    <t>Síla: 71.878</t>
  </si>
  <si>
    <t>Jiří Horálek</t>
  </si>
  <si>
    <t>28.001</t>
  </si>
  <si>
    <t>Marie Sedláčková</t>
  </si>
  <si>
    <t>21.751</t>
  </si>
  <si>
    <t>Oldřich Semrád</t>
  </si>
  <si>
    <t>22.126</t>
  </si>
  <si>
    <t>Síla: 70.441</t>
  </si>
  <si>
    <t>Michal Rolínek</t>
  </si>
  <si>
    <t>37.438</t>
  </si>
  <si>
    <t>Vladimír Louda</t>
  </si>
  <si>
    <t>9.783</t>
  </si>
  <si>
    <t>Vladimír Marcián</t>
  </si>
  <si>
    <t>23.220</t>
  </si>
  <si>
    <t>Síla: 68.532</t>
  </si>
  <si>
    <t>Dana Šplechtová</t>
  </si>
  <si>
    <t>14.156</t>
  </si>
  <si>
    <t>Jana Fafková</t>
  </si>
  <si>
    <t>26.001</t>
  </si>
  <si>
    <t>Alena Korešová</t>
  </si>
  <si>
    <t>Síla: 68.471</t>
  </si>
  <si>
    <t>Evžen Křížek</t>
  </si>
  <si>
    <t>25.750</t>
  </si>
  <si>
    <t>Věra Váňová</t>
  </si>
  <si>
    <t>SKP Řepy</t>
  </si>
  <si>
    <t>22.188</t>
  </si>
  <si>
    <t>Gabriela Staneková</t>
  </si>
  <si>
    <t>20.533</t>
  </si>
  <si>
    <t>Síla: 68.097</t>
  </si>
  <si>
    <t>Pavel Mareček</t>
  </si>
  <si>
    <t>13.626</t>
  </si>
  <si>
    <t>Yvonne Marečková</t>
  </si>
  <si>
    <t>26.907</t>
  </si>
  <si>
    <t>Vladimír Matuška</t>
  </si>
  <si>
    <t>27.564</t>
  </si>
  <si>
    <t>Síla: 65.784</t>
  </si>
  <si>
    <t>Jaroslav Šíma</t>
  </si>
  <si>
    <t>26.563</t>
  </si>
  <si>
    <t>Lukáš Hochmann</t>
  </si>
  <si>
    <t>PC SOKOL PP Hr. Králové</t>
  </si>
  <si>
    <t>20.220</t>
  </si>
  <si>
    <t>Ladislav Hlucho-Horvát</t>
  </si>
  <si>
    <t>19.001</t>
  </si>
  <si>
    <t>Síla: 64.314</t>
  </si>
  <si>
    <t>Jan Melgr</t>
  </si>
  <si>
    <t>David Kopečný</t>
  </si>
  <si>
    <t>22.469</t>
  </si>
  <si>
    <t>František Malina</t>
  </si>
  <si>
    <t>12.845</t>
  </si>
  <si>
    <t>Síla: 64.223</t>
  </si>
  <si>
    <t>Tomáš Piller</t>
  </si>
  <si>
    <t>15.002</t>
  </si>
  <si>
    <t>Monika Pillerová</t>
  </si>
  <si>
    <t>15.783</t>
  </si>
  <si>
    <t>Milan Demčík</t>
  </si>
  <si>
    <t>33.438</t>
  </si>
  <si>
    <t>Síla: 61.909</t>
  </si>
  <si>
    <t>Jindra Vodehnalová</t>
  </si>
  <si>
    <t>21.251</t>
  </si>
  <si>
    <t>Zdeněk Vodehnal</t>
  </si>
  <si>
    <t>16.907</t>
  </si>
  <si>
    <t>Petr Pilát</t>
  </si>
  <si>
    <t>23.751</t>
  </si>
  <si>
    <t>Síla: 61.16</t>
  </si>
  <si>
    <t>Ivo Chmelař</t>
  </si>
  <si>
    <t>20.095</t>
  </si>
  <si>
    <t>Yvetta Chmelařová</t>
  </si>
  <si>
    <t>18.501</t>
  </si>
  <si>
    <t>Ivana Vávrová</t>
  </si>
  <si>
    <t>22.564</t>
  </si>
  <si>
    <t>Síla: 59.285</t>
  </si>
  <si>
    <t>Klára Lujková</t>
  </si>
  <si>
    <t>20.314</t>
  </si>
  <si>
    <t>František Krupica</t>
  </si>
  <si>
    <t>Vratislav Flek</t>
  </si>
  <si>
    <t>18.657</t>
  </si>
  <si>
    <t>Síla: 58.189</t>
  </si>
  <si>
    <t>Simona Horáčková</t>
  </si>
  <si>
    <t>24.626</t>
  </si>
  <si>
    <t>Milan Kulhánek</t>
  </si>
  <si>
    <t>21.375</t>
  </si>
  <si>
    <t>Zdeněk Gröschl</t>
  </si>
  <si>
    <t>12.188</t>
  </si>
  <si>
    <t>Síla: 55.283</t>
  </si>
  <si>
    <t>Josef Petrželka</t>
  </si>
  <si>
    <t>18.188</t>
  </si>
  <si>
    <t>Heinz Manka</t>
  </si>
  <si>
    <t>16.500</t>
  </si>
  <si>
    <t>Peter Chodúr</t>
  </si>
  <si>
    <t>20.595</t>
  </si>
  <si>
    <t>Síla: 53.161</t>
  </si>
  <si>
    <t>Jaroslav Hladík</t>
  </si>
  <si>
    <t>18.940</t>
  </si>
  <si>
    <t>František Slunečko</t>
  </si>
  <si>
    <t>10.720</t>
  </si>
  <si>
    <t>Jaroslav Pastorek</t>
  </si>
  <si>
    <t>23.501</t>
  </si>
  <si>
    <t>Síla: 52.847</t>
  </si>
  <si>
    <t>Zbyněk Grepl</t>
  </si>
  <si>
    <t>14.845</t>
  </si>
  <si>
    <t>Martin Vrzal</t>
  </si>
  <si>
    <t>20.438</t>
  </si>
  <si>
    <t>Lucie Seredová</t>
  </si>
  <si>
    <t>17.564</t>
  </si>
  <si>
    <t>Síla: 47.876</t>
  </si>
  <si>
    <t>Luboš Rusek</t>
  </si>
  <si>
    <t>17.813</t>
  </si>
  <si>
    <t>Tomáš Brevčinský</t>
  </si>
  <si>
    <t>7.500</t>
  </si>
  <si>
    <t>Radomír Žiak</t>
  </si>
  <si>
    <t>22.563</t>
  </si>
  <si>
    <t>Síla: 44.126</t>
  </si>
  <si>
    <t>Petr Fuksa</t>
  </si>
  <si>
    <t>27.063</t>
  </si>
  <si>
    <t>Jaroslav Hanč</t>
  </si>
  <si>
    <t>4.500</t>
  </si>
  <si>
    <t>Miroslav Kremlík</t>
  </si>
  <si>
    <t>12.563</t>
  </si>
  <si>
    <t>Síla: 37.782</t>
  </si>
  <si>
    <t>Kamila Grepl</t>
  </si>
  <si>
    <t>Soňa Michálková</t>
  </si>
  <si>
    <t>Lucie Pokorná</t>
  </si>
  <si>
    <t>13.782</t>
  </si>
  <si>
    <t>Síla: 37.066</t>
  </si>
  <si>
    <t>Tomáš Sudoměřický</t>
  </si>
  <si>
    <t>Petr Skala</t>
  </si>
  <si>
    <t>14.407</t>
  </si>
  <si>
    <t>Dana Proroková</t>
  </si>
  <si>
    <t>11.939</t>
  </si>
  <si>
    <t>Síla: 28.971</t>
  </si>
  <si>
    <t>Milan Holenda</t>
  </si>
  <si>
    <t>14.470</t>
  </si>
  <si>
    <t>Alena Jindrová</t>
  </si>
  <si>
    <t>14.157</t>
  </si>
  <si>
    <t>Milan Zmrhal</t>
  </si>
  <si>
    <t>0.344</t>
  </si>
  <si>
    <t>Síla: 25.504</t>
  </si>
  <si>
    <t>Libor Horák</t>
  </si>
  <si>
    <t>Bedřichovický pétanque club 2016</t>
  </si>
  <si>
    <t>11.251</t>
  </si>
  <si>
    <t>Bronislava Urbanová</t>
  </si>
  <si>
    <t>10.345</t>
  </si>
  <si>
    <t>Jarmila Lukášová</t>
  </si>
  <si>
    <t>3.908</t>
  </si>
  <si>
    <t>Síla: 24.143</t>
  </si>
  <si>
    <t>Daniel Dyba</t>
  </si>
  <si>
    <t>13.532</t>
  </si>
  <si>
    <t>Dalibor Dyba</t>
  </si>
  <si>
    <t>Petr Flek</t>
  </si>
  <si>
    <t>2.547</t>
  </si>
  <si>
    <t>Síla: 9.751</t>
  </si>
  <si>
    <t>Natálie Krupicová "J"</t>
  </si>
  <si>
    <t>3.000</t>
  </si>
  <si>
    <t>Patrik Brabenec "J"</t>
  </si>
  <si>
    <t>6.751</t>
  </si>
  <si>
    <t>Karel Pokorný</t>
  </si>
  <si>
    <t>0.000</t>
  </si>
  <si>
    <t>Síla: 8.063</t>
  </si>
  <si>
    <t>Naděžda Žáková</t>
  </si>
  <si>
    <t>3.688</t>
  </si>
  <si>
    <t>Dana Fišerová</t>
  </si>
  <si>
    <t>4.375</t>
  </si>
  <si>
    <t>Marie Pavlíková</t>
  </si>
  <si>
    <t>Síla: 6.063</t>
  </si>
  <si>
    <t>Jan Půža</t>
  </si>
  <si>
    <t>2.000</t>
  </si>
  <si>
    <t>Marie Marešová</t>
  </si>
  <si>
    <t>Vasil Litvin</t>
  </si>
  <si>
    <t>4.063</t>
  </si>
  <si>
    <t>Pavel Ruta</t>
  </si>
  <si>
    <t>Radomil Rambousek</t>
  </si>
  <si>
    <t>Tomáš Michálek, Petr Tománek, Vratislav Flek</t>
  </si>
  <si>
    <t>Pavel Ruta, Radomil Rambousek, František Krupica</t>
  </si>
  <si>
    <t>350,-Kč, 250,-Kč junioři</t>
  </si>
  <si>
    <t>Věcné ceny, poháry, medaile, dort pro vítěze</t>
  </si>
  <si>
    <t>hlavní turnaj ne, časový limit nasazen z rozhodnutí jury na poslední dvě kola dohrávek.</t>
  </si>
  <si>
    <t>ano</t>
  </si>
  <si>
    <t>proměnlivé, zataženo, pak polojasno, navečer lehký déšť</t>
  </si>
  <si>
    <t>žádné</t>
  </si>
  <si>
    <t>Turnaj proběhl bez problémů, nebylo potřeba řešit žádné výraznější přestupky či incidenty.</t>
  </si>
  <si>
    <t>Turnaj proběhl bez problémů. Vedení programu turnaje probíhalo ve spolupráci s členy STK.</t>
  </si>
  <si>
    <t>Oceňuji množství přípravných prací, které umožnily uspořádat turnaj v Kněžicích. Členové STK oslovili místní klub PSK Jihlava s nabídkou uspořádat MČR trojic v Kněžicích a ti vyhověli, přestože za sebou měli zkušenost pouze ze dvou žebříčkových regionálních turnajů. Klub na vlastní náklady vybudoval druhou část areálu, která se kvalitou hřišť rovnala hlavní části areálu. Těžká hřiště splňují parametry úrovně MČR a doporučuji zde pořádat další MČR či kvalifikace v budoucnu. Dostatek parkovacích míst, ozvučení areálu, dostatek toalet, dřevěné hranoly mezi hřišti, dostatek míst k sezení pod slunečníky či stany, dostatek personálu u občerstvení. To vše jsou detaily, které vytvořily hráčům velmi dobrý komfort. Kvituji, že pořadatelé vyznačili místo pro kouření v dostatečné vzdálenosti od hřišť. Dílčí komentáře jsem zaslechl ke zpívané hymně a rychlosti vydávání oběda. Všichni semifinalisté byli podrobeni orientačním testům na přítomnost alkoholu v dechu s negativním výsledkem, o čemž byl sepsán protokol. Pořadatelé měli komplikace před turnajem se sehnáním umělého osvětlení. Semifinále a finále se hrálo na zvětšených hřištích dle Soutěžního řádu. Finále se již dohrávalo za potřeby použití umělého osvětlení, jehož intenzita nebyla ideální ale stále dostatečná pro hru. Zde je prostor ke zlepšení v budoucnu. Z časových důvodů se jury rozhodla zavést časový limit na poslední dva zápasy v dohrávkách o 5.-8. místo a o 9.-16. místo. Do budoucna doporučuji zavést časový limit pro dohrávky od začátku, aby se předešlo situaci, že se dohrají později než hlavní turnaj. Pozitivním krokem bylo uspořádání B- turnaje pro nepostupivší ze skupin. Nezaznamenal jsem negativní ohlasy na výkon hlavního rozhodčího ani na výkon ředitele turnaje. V rámci jury proběhla bezproblémová spolupráce. Celkově hodnotím turnaj jako velmi dobrý.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</si>
</sst>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
    <numFmt numFmtId="165" formatCode="0.000"/>
    <numFmt numFmtId="166" formatCode="0.0"/>
    <numFmt numFmtId="167" formatCode="d/m/yyyy;@"/>
  </numFmts>
  <fonts count="90">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sz val="9"/>
      <color rgb="FF000000"/>
      <name val="Tahoma"/>
      <family val="2"/>
      <charset val="238"/>
    </font>
    <font>
      <b/>
      <sz val="9"/>
      <color rgb="FF00000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07">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xf numFmtId="0" fontId="0" fillId="5" borderId="1" xfId="0" applyFill="1" applyBorder="1"/>
    <xf numFmtId="0" fontId="0" fillId="5" borderId="38" xfId="0" applyFill="1" applyBorder="1"/>
    <xf numFmtId="165" fontId="0" fillId="0" borderId="0" xfId="0" applyNumberFormat="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Border="1" applyAlignment="1">
      <alignment horizontal="center" vertical="center"/>
    </xf>
    <xf numFmtId="49" fontId="46" fillId="0" borderId="21" xfId="0" applyNumberFormat="1" applyFont="1" applyBorder="1" applyAlignment="1">
      <alignment horizontal="left" vertical="center"/>
    </xf>
    <xf numFmtId="0" fontId="21" fillId="0" borderId="0" xfId="0" applyFont="1" applyAlignment="1">
      <alignment horizontal="center"/>
    </xf>
    <xf numFmtId="49" fontId="46" fillId="0" borderId="3" xfId="0" applyNumberFormat="1" applyFont="1" applyBorder="1" applyAlignment="1">
      <alignment horizontal="center" vertical="center"/>
    </xf>
    <xf numFmtId="49" fontId="46" fillId="0" borderId="3" xfId="0" applyNumberFormat="1" applyFont="1" applyBorder="1" applyAlignment="1">
      <alignment horizontal="left" vertical="center"/>
    </xf>
    <xf numFmtId="49" fontId="17" fillId="0" borderId="3" xfId="0" applyNumberFormat="1" applyFont="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Alignment="1">
      <alignment vertical="center"/>
    </xf>
    <xf numFmtId="0" fontId="0" fillId="0" borderId="71" xfId="0" applyBorder="1"/>
    <xf numFmtId="0" fontId="9" fillId="0" borderId="0" xfId="0" applyFont="1" applyAlignment="1">
      <alignment horizontal="center"/>
    </xf>
    <xf numFmtId="0" fontId="32" fillId="0" borderId="0" xfId="0" applyFont="1"/>
    <xf numFmtId="0" fontId="27" fillId="0" borderId="0" xfId="0" applyFont="1"/>
    <xf numFmtId="0" fontId="40" fillId="0" borderId="36" xfId="0" applyFont="1" applyBorder="1" applyAlignment="1">
      <alignment horizontal="center" vertical="center"/>
    </xf>
    <xf numFmtId="0" fontId="27" fillId="0" borderId="16" xfId="0" applyFont="1" applyBorder="1"/>
    <xf numFmtId="0" fontId="40" fillId="3" borderId="0" xfId="0" applyFont="1" applyFill="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Alignment="1">
      <alignment horizontal="center"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30" fillId="0" borderId="0" xfId="0" applyFont="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Alignment="1">
      <alignment horizontal="center"/>
    </xf>
    <xf numFmtId="0" fontId="31" fillId="0" borderId="0" xfId="0" applyFont="1" applyAlignment="1">
      <alignment horizontal="center"/>
    </xf>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Border="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0" borderId="0" xfId="0" applyFont="1"/>
    <xf numFmtId="0" fontId="65"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Alignment="1">
      <alignment horizontal="right" shrinkToFit="1"/>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Alignment="1">
      <alignment vertical="center"/>
    </xf>
    <xf numFmtId="49" fontId="74" fillId="0" borderId="0" xfId="0" applyNumberFormat="1" applyFont="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Border="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54" fillId="3" borderId="0" xfId="0" applyFont="1" applyFill="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5" fontId="0" fillId="0" borderId="0" xfId="0" applyNumberFormat="1" applyProtection="1">
      <protection locked="0" hidden="1"/>
    </xf>
    <xf numFmtId="0" fontId="0" fillId="15" borderId="0" xfId="0" applyFill="1" applyProtection="1">
      <protection hidden="1"/>
    </xf>
    <xf numFmtId="165" fontId="8" fillId="3" borderId="0" xfId="0" applyNumberFormat="1" applyFont="1" applyFill="1" applyAlignment="1" applyProtection="1">
      <alignment horizontal="center"/>
      <protection locked="0" hidden="1"/>
    </xf>
    <xf numFmtId="1" fontId="8"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Border="1" applyAlignment="1" applyProtection="1">
      <alignment horizontal="center"/>
      <protection hidden="1"/>
    </xf>
    <xf numFmtId="0" fontId="20" fillId="0" borderId="53" xfId="0" applyFont="1" applyBorder="1" applyAlignment="1" applyProtection="1">
      <alignment horizontal="center"/>
      <protection hidden="1"/>
    </xf>
    <xf numFmtId="0" fontId="88" fillId="17" borderId="0" xfId="0" applyFont="1" applyFill="1" applyAlignment="1">
      <alignment vertical="center" wrapText="1"/>
    </xf>
    <xf numFmtId="0" fontId="88" fillId="17" borderId="0" xfId="0" applyFont="1" applyFill="1" applyAlignment="1">
      <alignment horizontal="right" vertical="center" wrapText="1"/>
    </xf>
    <xf numFmtId="0" fontId="89" fillId="17" borderId="0" xfId="0" applyFont="1" applyFill="1" applyAlignment="1">
      <alignment vertical="center" wrapText="1"/>
    </xf>
    <xf numFmtId="0" fontId="89" fillId="17" borderId="113" xfId="0" applyFont="1" applyFill="1" applyBorder="1" applyAlignment="1">
      <alignment vertical="center" wrapText="1"/>
    </xf>
    <xf numFmtId="0" fontId="22" fillId="17" borderId="113" xfId="1" applyFill="1" applyBorder="1" applyAlignment="1" applyProtection="1">
      <alignment vertical="center" wrapText="1"/>
    </xf>
    <xf numFmtId="14" fontId="89" fillId="17" borderId="113" xfId="0" applyNumberFormat="1" applyFont="1" applyFill="1" applyBorder="1" applyAlignment="1">
      <alignment vertical="center" wrapText="1"/>
    </xf>
    <xf numFmtId="0" fontId="89" fillId="17" borderId="113" xfId="0" applyFont="1" applyFill="1" applyBorder="1" applyAlignment="1">
      <alignment horizontal="right" vertical="center" wrapText="1"/>
    </xf>
    <xf numFmtId="0" fontId="89" fillId="18" borderId="114" xfId="0" applyFont="1" applyFill="1" applyBorder="1" applyAlignment="1">
      <alignment horizontal="right" vertical="center" wrapText="1"/>
    </xf>
    <xf numFmtId="0" fontId="89" fillId="18" borderId="114" xfId="0" applyFont="1" applyFill="1" applyBorder="1" applyAlignment="1">
      <alignment vertical="center" wrapText="1"/>
    </xf>
    <xf numFmtId="0" fontId="22" fillId="18" borderId="114" xfId="1" applyFill="1" applyBorder="1" applyAlignment="1" applyProtection="1">
      <alignment vertical="center" wrapText="1"/>
    </xf>
    <xf numFmtId="0" fontId="88" fillId="19" borderId="114" xfId="0" applyFont="1" applyFill="1" applyBorder="1" applyAlignment="1">
      <alignment horizontal="right" vertical="center" wrapText="1"/>
    </xf>
    <xf numFmtId="0" fontId="88" fillId="19" borderId="114" xfId="0" applyFont="1" applyFill="1" applyBorder="1" applyAlignment="1">
      <alignment vertical="center" wrapText="1"/>
    </xf>
    <xf numFmtId="20" fontId="0" fillId="0" borderId="0" xfId="0" applyNumberFormat="1" applyAlignment="1">
      <alignment horizontal="left"/>
    </xf>
    <xf numFmtId="0" fontId="0" fillId="0" borderId="0" xfId="0" applyAlignment="1">
      <alignment horizontal="left"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59871</xdr:colOff>
          <xdr:row>5</xdr:row>
          <xdr:rowOff>201386</xdr:rowOff>
        </xdr:from>
        <xdr:to>
          <xdr:col>17</xdr:col>
          <xdr:colOff>326571</xdr:colOff>
          <xdr:row>8</xdr:row>
          <xdr:rowOff>125186</xdr:rowOff>
        </xdr:to>
        <xdr:sp macro="" textlink="">
          <xdr:nvSpPr>
            <xdr:cNvPr id="3194" name="Button 122" descr="Zálohování souboru" hidden="1">
              <a:extLst>
                <a:ext uri="{63B3BB69-23CF-44E3-9099-C40C66FF867C}">
                  <a14:compatExt spid="_x0000_s3194"/>
                </a:ext>
                <a:ext uri="{FF2B5EF4-FFF2-40B4-BE49-F238E27FC236}">
                  <a16:creationId xmlns:a16="http://schemas.microsoft.com/office/drawing/2014/main" id="{00000000-0008-0000-0500-00007A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87086</xdr:colOff>
          <xdr:row>0</xdr:row>
          <xdr:rowOff>97971</xdr:rowOff>
        </xdr:from>
        <xdr:to>
          <xdr:col>6</xdr:col>
          <xdr:colOff>1153886</xdr:colOff>
          <xdr:row>1</xdr:row>
          <xdr:rowOff>402771</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7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0</xdr:row>
          <xdr:rowOff>38100</xdr:rowOff>
        </xdr:from>
        <xdr:to>
          <xdr:col>4</xdr:col>
          <xdr:colOff>484414</xdr:colOff>
          <xdr:row>1</xdr:row>
          <xdr:rowOff>517071</xdr:rowOff>
        </xdr:to>
        <xdr:sp macro="" textlink="">
          <xdr:nvSpPr>
            <xdr:cNvPr id="4102" name="Button 6" hidden="1">
              <a:extLst>
                <a:ext uri="{63B3BB69-23CF-44E3-9099-C40C66FF867C}">
                  <a14:compatExt spid="_x0000_s4102"/>
                </a:ext>
                <a:ext uri="{FF2B5EF4-FFF2-40B4-BE49-F238E27FC236}">
                  <a16:creationId xmlns:a16="http://schemas.microsoft.com/office/drawing/2014/main" id="{00000000-0008-0000-0800-0000061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0F00-000001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F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1000-000001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10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00000000-0008-0000-1100-000001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11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8" name="Button 6" hidden="1">
              <a:extLst>
                <a:ext uri="{63B3BB69-23CF-44E3-9099-C40C66FF867C}">
                  <a14:compatExt spid="_x0000_s8198"/>
                </a:ext>
                <a:ext uri="{FF2B5EF4-FFF2-40B4-BE49-F238E27FC236}">
                  <a16:creationId xmlns:a16="http://schemas.microsoft.com/office/drawing/2014/main" id="{00000000-0008-0000-1200-000006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1300-0000024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17411" name="Button 3" hidden="1">
              <a:extLst>
                <a:ext uri="{63B3BB69-23CF-44E3-9099-C40C66FF867C}">
                  <a14:compatExt spid="_x0000_s17411"/>
                </a:ext>
                <a:ext uri="{FF2B5EF4-FFF2-40B4-BE49-F238E27FC236}">
                  <a16:creationId xmlns:a16="http://schemas.microsoft.com/office/drawing/2014/main" id="{00000000-0008-0000-1300-0000034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00000000-0008-0000-1400-0000036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8575" TargetMode="External"/><Relationship Id="rId18" Type="http://schemas.openxmlformats.org/officeDocument/2006/relationships/hyperlink" Target="https://czechpetanque.cz/odhlasit.html?pr=58467" TargetMode="External"/><Relationship Id="rId26" Type="http://schemas.openxmlformats.org/officeDocument/2006/relationships/hyperlink" Target="https://czechpetanque.cz/odhlasit.html?pr=58561" TargetMode="External"/><Relationship Id="rId39" Type="http://schemas.openxmlformats.org/officeDocument/2006/relationships/hyperlink" Target="https://czechpetanque.cz/odhlasit.html?pr=58555" TargetMode="External"/><Relationship Id="rId21" Type="http://schemas.openxmlformats.org/officeDocument/2006/relationships/hyperlink" Target="https://czechpetanque.cz/odhlasit.html?pr=58663" TargetMode="External"/><Relationship Id="rId34" Type="http://schemas.openxmlformats.org/officeDocument/2006/relationships/hyperlink" Target="https://czechpetanque.cz/odhlasit.html?pr=58446" TargetMode="External"/><Relationship Id="rId42" Type="http://schemas.openxmlformats.org/officeDocument/2006/relationships/hyperlink" Target="https://czechpetanque.cz/odhlasit.html?pr=58475" TargetMode="External"/><Relationship Id="rId47" Type="http://schemas.openxmlformats.org/officeDocument/2006/relationships/hyperlink" Target="https://czechpetanque.cz/odhlasit.html?pr=58432" TargetMode="External"/><Relationship Id="rId50" Type="http://schemas.openxmlformats.org/officeDocument/2006/relationships/hyperlink" Target="https://czechpetanque.cz/odhlasit.html?pr=58458" TargetMode="External"/><Relationship Id="rId55" Type="http://schemas.openxmlformats.org/officeDocument/2006/relationships/hyperlink" Target="https://czechpetanque.cz/odhlasit.html?pr=58468" TargetMode="External"/><Relationship Id="rId7" Type="http://schemas.openxmlformats.org/officeDocument/2006/relationships/hyperlink" Target="https://czechpetanque.cz/odhlasit.html?pr=58597" TargetMode="External"/><Relationship Id="rId2" Type="http://schemas.openxmlformats.org/officeDocument/2006/relationships/hyperlink" Target="https://czechpetanque.cz/odhlasit.html?pr=58444" TargetMode="External"/><Relationship Id="rId16" Type="http://schemas.openxmlformats.org/officeDocument/2006/relationships/hyperlink" Target="https://czechpetanque.cz/odhlasit.html?pr=58480" TargetMode="External"/><Relationship Id="rId29" Type="http://schemas.openxmlformats.org/officeDocument/2006/relationships/hyperlink" Target="https://czechpetanque.cz/odhlasit.html?pr=58428" TargetMode="External"/><Relationship Id="rId11" Type="http://schemas.openxmlformats.org/officeDocument/2006/relationships/hyperlink" Target="https://czechpetanque.cz/odhlasit.html?pr=58719" TargetMode="External"/><Relationship Id="rId24" Type="http://schemas.openxmlformats.org/officeDocument/2006/relationships/hyperlink" Target="https://czechpetanque.cz/odhlasit.html?pr=58445" TargetMode="External"/><Relationship Id="rId32" Type="http://schemas.openxmlformats.org/officeDocument/2006/relationships/hyperlink" Target="https://czechpetanque.cz/odhlasit.html?pr=58425" TargetMode="External"/><Relationship Id="rId37" Type="http://schemas.openxmlformats.org/officeDocument/2006/relationships/hyperlink" Target="https://czechpetanque.cz/odhlasit.html?pr=58676" TargetMode="External"/><Relationship Id="rId40" Type="http://schemas.openxmlformats.org/officeDocument/2006/relationships/hyperlink" Target="https://czechpetanque.cz/odhlasit.html?pr=58666" TargetMode="External"/><Relationship Id="rId45" Type="http://schemas.openxmlformats.org/officeDocument/2006/relationships/hyperlink" Target="https://czechpetanque.cz/odhlasit.html?pr=58453" TargetMode="External"/><Relationship Id="rId53" Type="http://schemas.openxmlformats.org/officeDocument/2006/relationships/hyperlink" Target="https://czechpetanque.cz/odhlasit.html?pr=58582" TargetMode="External"/><Relationship Id="rId58" Type="http://schemas.openxmlformats.org/officeDocument/2006/relationships/hyperlink" Target="https://czechpetanque.cz/odhlasit.html?pr=58615" TargetMode="External"/><Relationship Id="rId5" Type="http://schemas.openxmlformats.org/officeDocument/2006/relationships/hyperlink" Target="https://czechpetanque.cz/odhlasit.html?pr=58612" TargetMode="External"/><Relationship Id="rId61" Type="http://schemas.openxmlformats.org/officeDocument/2006/relationships/printerSettings" Target="../printerSettings/printerSettings4.bin"/><Relationship Id="rId19" Type="http://schemas.openxmlformats.org/officeDocument/2006/relationships/hyperlink" Target="https://czechpetanque.cz/odhlasit.html?pr=58454" TargetMode="External"/><Relationship Id="rId14" Type="http://schemas.openxmlformats.org/officeDocument/2006/relationships/hyperlink" Target="https://czechpetanque.cz/odhlasit.html?pr=58433" TargetMode="External"/><Relationship Id="rId22" Type="http://schemas.openxmlformats.org/officeDocument/2006/relationships/hyperlink" Target="https://czechpetanque.cz/odhlasit.html?pr=58677" TargetMode="External"/><Relationship Id="rId27" Type="http://schemas.openxmlformats.org/officeDocument/2006/relationships/hyperlink" Target="https://czechpetanque.cz/odhlasit.html?pr=58443" TargetMode="External"/><Relationship Id="rId30" Type="http://schemas.openxmlformats.org/officeDocument/2006/relationships/hyperlink" Target="https://czechpetanque.cz/odhlasit.html?pr=58482" TargetMode="External"/><Relationship Id="rId35" Type="http://schemas.openxmlformats.org/officeDocument/2006/relationships/hyperlink" Target="https://czechpetanque.cz/odhlasit.html?pr=58440" TargetMode="External"/><Relationship Id="rId43" Type="http://schemas.openxmlformats.org/officeDocument/2006/relationships/hyperlink" Target="https://czechpetanque.cz/odhlasit.html?pr=58617" TargetMode="External"/><Relationship Id="rId48" Type="http://schemas.openxmlformats.org/officeDocument/2006/relationships/hyperlink" Target="https://czechpetanque.cz/odhlasit.html?pr=58729" TargetMode="External"/><Relationship Id="rId56" Type="http://schemas.openxmlformats.org/officeDocument/2006/relationships/hyperlink" Target="https://czechpetanque.cz/odhlasit.html?pr=58550" TargetMode="External"/><Relationship Id="rId8" Type="http://schemas.openxmlformats.org/officeDocument/2006/relationships/hyperlink" Target="https://czechpetanque.cz/odhlasit.html?pr=58580" TargetMode="External"/><Relationship Id="rId51" Type="http://schemas.openxmlformats.org/officeDocument/2006/relationships/hyperlink" Target="https://czechpetanque.cz/odhlasit.html?pr=58449" TargetMode="External"/><Relationship Id="rId3" Type="http://schemas.openxmlformats.org/officeDocument/2006/relationships/hyperlink" Target="https://czechpetanque.cz/odhlasit.html?pr=58424" TargetMode="External"/><Relationship Id="rId12" Type="http://schemas.openxmlformats.org/officeDocument/2006/relationships/hyperlink" Target="https://czechpetanque.cz/odhlasit.html?pr=58481" TargetMode="External"/><Relationship Id="rId17" Type="http://schemas.openxmlformats.org/officeDocument/2006/relationships/hyperlink" Target="https://czechpetanque.cz/odhlasit.html?pr=58438" TargetMode="External"/><Relationship Id="rId25" Type="http://schemas.openxmlformats.org/officeDocument/2006/relationships/hyperlink" Target="https://czechpetanque.cz/odhlasit.html?pr=58668" TargetMode="External"/><Relationship Id="rId33" Type="http://schemas.openxmlformats.org/officeDocument/2006/relationships/hyperlink" Target="https://czechpetanque.cz/odhlasit.html?pr=58543" TargetMode="External"/><Relationship Id="rId38" Type="http://schemas.openxmlformats.org/officeDocument/2006/relationships/hyperlink" Target="https://czechpetanque.cz/odhlasit.html?pr=58560" TargetMode="External"/><Relationship Id="rId46" Type="http://schemas.openxmlformats.org/officeDocument/2006/relationships/hyperlink" Target="https://czechpetanque.cz/odhlasit.html?pr=58423" TargetMode="External"/><Relationship Id="rId59" Type="http://schemas.openxmlformats.org/officeDocument/2006/relationships/hyperlink" Target="https://czechpetanque.cz/odhlasit.html?pr=58620" TargetMode="External"/><Relationship Id="rId20" Type="http://schemas.openxmlformats.org/officeDocument/2006/relationships/hyperlink" Target="https://czechpetanque.cz/odhlasit.html?pr=58588" TargetMode="External"/><Relationship Id="rId41" Type="http://schemas.openxmlformats.org/officeDocument/2006/relationships/hyperlink" Target="https://czechpetanque.cz/odhlasit.html?pr=58801" TargetMode="External"/><Relationship Id="rId54" Type="http://schemas.openxmlformats.org/officeDocument/2006/relationships/hyperlink" Target="https://czechpetanque.cz/odhlasit.html?pr=58680" TargetMode="External"/><Relationship Id="rId1" Type="http://schemas.openxmlformats.org/officeDocument/2006/relationships/hyperlink" Target="https://czechpetanque.cz/klub.html?id=95" TargetMode="External"/><Relationship Id="rId6" Type="http://schemas.openxmlformats.org/officeDocument/2006/relationships/hyperlink" Target="https://czechpetanque.cz/odhlasit.html?pr=58434" TargetMode="External"/><Relationship Id="rId15" Type="http://schemas.openxmlformats.org/officeDocument/2006/relationships/hyperlink" Target="https://czechpetanque.cz/odhlasit.html?pr=58716" TargetMode="External"/><Relationship Id="rId23" Type="http://schemas.openxmlformats.org/officeDocument/2006/relationships/hyperlink" Target="https://czechpetanque.cz/odhlasit.html?pr=58431" TargetMode="External"/><Relationship Id="rId28" Type="http://schemas.openxmlformats.org/officeDocument/2006/relationships/hyperlink" Target="https://czechpetanque.cz/odhlasit.html?pr=58484" TargetMode="External"/><Relationship Id="rId36" Type="http://schemas.openxmlformats.org/officeDocument/2006/relationships/hyperlink" Target="https://czechpetanque.cz/odhlasit.html?pr=58604" TargetMode="External"/><Relationship Id="rId49" Type="http://schemas.openxmlformats.org/officeDocument/2006/relationships/hyperlink" Target="https://czechpetanque.cz/odhlasit.html?pr=58426" TargetMode="External"/><Relationship Id="rId57" Type="http://schemas.openxmlformats.org/officeDocument/2006/relationships/hyperlink" Target="https://czechpetanque.cz/odhlasit.html?pr=58619" TargetMode="External"/><Relationship Id="rId10" Type="http://schemas.openxmlformats.org/officeDocument/2006/relationships/hyperlink" Target="https://czechpetanque.cz/odhlasit.html?pr=58448" TargetMode="External"/><Relationship Id="rId31" Type="http://schemas.openxmlformats.org/officeDocument/2006/relationships/hyperlink" Target="https://czechpetanque.cz/odhlasit.html?pr=58442" TargetMode="External"/><Relationship Id="rId44" Type="http://schemas.openxmlformats.org/officeDocument/2006/relationships/hyperlink" Target="https://czechpetanque.cz/odhlasit.html?pr=58420" TargetMode="External"/><Relationship Id="rId52" Type="http://schemas.openxmlformats.org/officeDocument/2006/relationships/hyperlink" Target="https://czechpetanque.cz/odhlasit.html?pr=58743" TargetMode="External"/><Relationship Id="rId60" Type="http://schemas.openxmlformats.org/officeDocument/2006/relationships/hyperlink" Target="https://czechpetanque.cz/odhlasit.html?pr=58621" TargetMode="External"/><Relationship Id="rId4" Type="http://schemas.openxmlformats.org/officeDocument/2006/relationships/hyperlink" Target="https://czechpetanque.cz/odhlasit.html?pr=58479" TargetMode="External"/><Relationship Id="rId9" Type="http://schemas.openxmlformats.org/officeDocument/2006/relationships/hyperlink" Target="https://czechpetanque.cz/odhlasit.html?pr=58573"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cols>
    <col min="1" max="1" width="5.1640625" customWidth="1"/>
    <col min="2" max="10" width="11.4140625" customWidth="1"/>
    <col min="11" max="11" width="13.58203125" customWidth="1"/>
  </cols>
  <sheetData>
    <row r="1" spans="1:8" ht="15.45" thickBot="1">
      <c r="B1" s="499" t="s">
        <v>53</v>
      </c>
      <c r="C1" s="500"/>
      <c r="D1" s="500"/>
      <c r="E1" s="500"/>
      <c r="F1" s="500"/>
      <c r="G1" s="500"/>
      <c r="H1" s="501"/>
    </row>
    <row r="2" spans="1:8" ht="24.45">
      <c r="B2" s="502" t="s">
        <v>28</v>
      </c>
      <c r="C2" s="503"/>
      <c r="D2" s="503"/>
      <c r="E2" s="503"/>
      <c r="F2" s="503"/>
      <c r="G2" s="503"/>
      <c r="H2" s="503"/>
    </row>
    <row r="3" spans="1:8" ht="12.9">
      <c r="B3" s="165" t="s">
        <v>448</v>
      </c>
      <c r="C3" s="166"/>
      <c r="D3" s="166"/>
      <c r="E3" s="166"/>
      <c r="F3" s="166"/>
      <c r="G3" s="166"/>
      <c r="H3" s="166"/>
    </row>
    <row r="4" spans="1:8" ht="21.45">
      <c r="B4" s="341" t="s">
        <v>491</v>
      </c>
      <c r="C4" s="342"/>
      <c r="D4" s="342"/>
      <c r="E4" s="342"/>
      <c r="F4" s="342"/>
      <c r="G4" s="342"/>
      <c r="H4" s="342"/>
    </row>
    <row r="5" spans="1:8" ht="12.9">
      <c r="B5" s="341" t="s">
        <v>20</v>
      </c>
      <c r="C5" s="342"/>
      <c r="D5" s="342"/>
      <c r="E5" s="342"/>
      <c r="F5" s="342"/>
      <c r="G5" s="342"/>
      <c r="H5" s="342"/>
    </row>
    <row r="6" spans="1:8" ht="12.9">
      <c r="B6" s="341" t="s">
        <v>494</v>
      </c>
      <c r="C6" s="166"/>
      <c r="D6" s="166"/>
      <c r="E6" s="166"/>
      <c r="F6" s="166"/>
      <c r="G6" s="166"/>
      <c r="H6" s="166"/>
    </row>
    <row r="7" spans="1:8">
      <c r="B7" s="166" t="s">
        <v>449</v>
      </c>
      <c r="C7" s="166"/>
      <c r="D7" s="166"/>
      <c r="E7" s="166"/>
      <c r="F7" s="166"/>
      <c r="G7" s="166"/>
      <c r="H7" s="166"/>
    </row>
    <row r="8" spans="1:8">
      <c r="B8" s="166" t="s">
        <v>365</v>
      </c>
      <c r="C8" s="166"/>
      <c r="D8" s="166"/>
      <c r="E8" s="166"/>
      <c r="F8" s="166"/>
      <c r="G8" s="166"/>
      <c r="H8" s="166"/>
    </row>
    <row r="9" spans="1:8">
      <c r="B9" s="166" t="s">
        <v>366</v>
      </c>
      <c r="C9" s="166"/>
      <c r="D9" s="166"/>
      <c r="E9" s="166"/>
      <c r="F9" s="166"/>
      <c r="G9" s="166"/>
      <c r="H9" s="166"/>
    </row>
    <row r="10" spans="1:8">
      <c r="B10" s="166" t="s">
        <v>367</v>
      </c>
      <c r="C10" s="166"/>
      <c r="D10" s="166"/>
      <c r="E10" s="166"/>
      <c r="F10" s="166"/>
      <c r="G10" s="166"/>
      <c r="H10" s="166"/>
    </row>
    <row r="11" spans="1:8">
      <c r="B11" s="166" t="s">
        <v>415</v>
      </c>
      <c r="C11" s="166"/>
      <c r="D11" s="166"/>
      <c r="E11" s="166"/>
      <c r="F11" s="166"/>
      <c r="G11" s="166"/>
      <c r="H11" s="166"/>
    </row>
    <row r="12" spans="1:8">
      <c r="B12" s="166" t="s">
        <v>368</v>
      </c>
      <c r="C12" s="166"/>
      <c r="D12" s="166"/>
      <c r="E12" s="166"/>
      <c r="F12" s="166"/>
      <c r="G12" s="166"/>
      <c r="H12" s="166"/>
    </row>
    <row r="13" spans="1:8">
      <c r="B13" s="166" t="s">
        <v>369</v>
      </c>
      <c r="C13" s="166"/>
      <c r="D13" s="166"/>
      <c r="E13" s="166"/>
      <c r="F13" s="166"/>
      <c r="G13" s="166"/>
      <c r="H13" s="166"/>
    </row>
    <row r="14" spans="1:8">
      <c r="B14" s="166" t="s">
        <v>370</v>
      </c>
      <c r="C14" s="166"/>
      <c r="D14" s="166"/>
      <c r="E14" s="166"/>
      <c r="F14" s="166"/>
      <c r="G14" s="166"/>
      <c r="H14" s="166"/>
    </row>
    <row r="15" spans="1:8">
      <c r="B15" s="166" t="s">
        <v>371</v>
      </c>
      <c r="C15" s="166"/>
      <c r="D15" s="166"/>
      <c r="E15" s="166"/>
      <c r="F15" s="166"/>
      <c r="G15" s="166"/>
      <c r="H15" s="166"/>
    </row>
    <row r="16" spans="1:8">
      <c r="A16" s="162" t="s">
        <v>372</v>
      </c>
      <c r="B16" s="166" t="s">
        <v>21</v>
      </c>
      <c r="C16" s="166"/>
      <c r="D16" s="166"/>
      <c r="E16" s="166"/>
      <c r="F16" s="166"/>
      <c r="G16" s="166"/>
      <c r="H16" s="166"/>
    </row>
    <row r="17" spans="1:10">
      <c r="A17" s="162" t="s">
        <v>372</v>
      </c>
      <c r="B17" s="166" t="s">
        <v>414</v>
      </c>
      <c r="C17" s="166"/>
      <c r="D17" s="166"/>
      <c r="E17" s="166"/>
      <c r="F17" s="166"/>
      <c r="G17" s="166"/>
      <c r="H17" s="166"/>
    </row>
    <row r="18" spans="1:10">
      <c r="A18" s="162"/>
      <c r="B18" s="166" t="s">
        <v>262</v>
      </c>
      <c r="C18" s="166"/>
      <c r="D18" s="166"/>
      <c r="E18" s="166"/>
      <c r="F18" s="166"/>
      <c r="G18" s="166"/>
      <c r="H18" s="166"/>
    </row>
    <row r="20" spans="1:10">
      <c r="B20" t="s">
        <v>22</v>
      </c>
    </row>
    <row r="21" spans="1:10" ht="12.9">
      <c r="B21" s="164" t="s">
        <v>246</v>
      </c>
      <c r="C21" s="6" t="s">
        <v>247</v>
      </c>
    </row>
    <row r="22" spans="1:10" ht="12.9">
      <c r="B22" s="165" t="s">
        <v>249</v>
      </c>
      <c r="C22" s="166"/>
      <c r="D22" s="167"/>
      <c r="E22" s="166"/>
      <c r="F22" s="166"/>
      <c r="G22" s="166"/>
      <c r="H22" s="166"/>
      <c r="I22" s="166"/>
      <c r="J22" s="166"/>
    </row>
    <row r="24" spans="1:10" ht="12.9">
      <c r="A24" s="343" t="s">
        <v>373</v>
      </c>
      <c r="B24" s="344"/>
      <c r="C24" s="344"/>
      <c r="D24" s="344"/>
      <c r="E24" s="344"/>
      <c r="F24" s="344"/>
      <c r="G24" s="344"/>
      <c r="H24" s="344"/>
    </row>
    <row r="25" spans="1:10" ht="12.9">
      <c r="A25" t="s">
        <v>251</v>
      </c>
      <c r="B25" t="s">
        <v>374</v>
      </c>
    </row>
    <row r="26" spans="1:10">
      <c r="A26" t="s">
        <v>252</v>
      </c>
      <c r="B26" t="s">
        <v>375</v>
      </c>
    </row>
    <row r="27" spans="1:10">
      <c r="A27" t="s">
        <v>253</v>
      </c>
      <c r="B27" t="s">
        <v>335</v>
      </c>
    </row>
    <row r="28" spans="1:10">
      <c r="B28" t="s">
        <v>376</v>
      </c>
    </row>
    <row r="29" spans="1:10" ht="12.9">
      <c r="A29" s="345" t="s">
        <v>377</v>
      </c>
    </row>
    <row r="30" spans="1:10" ht="12.9">
      <c r="A30" s="345"/>
      <c r="B30" t="s">
        <v>378</v>
      </c>
    </row>
    <row r="31" spans="1:10">
      <c r="B31" t="s">
        <v>492</v>
      </c>
    </row>
    <row r="32" spans="1:10" ht="12.9">
      <c r="B32" s="346" t="s">
        <v>379</v>
      </c>
    </row>
    <row r="34" spans="1:12" ht="12.9">
      <c r="A34" s="343" t="s">
        <v>380</v>
      </c>
      <c r="B34" s="344"/>
      <c r="C34" s="344"/>
      <c r="D34" s="344"/>
      <c r="E34" s="344"/>
      <c r="F34" s="344"/>
      <c r="G34" s="344"/>
      <c r="H34" s="344"/>
    </row>
    <row r="36" spans="1:12" ht="12.9">
      <c r="A36" t="s">
        <v>420</v>
      </c>
    </row>
    <row r="37" spans="1:12">
      <c r="A37" s="162" t="s">
        <v>248</v>
      </c>
      <c r="B37" s="168" t="s">
        <v>421</v>
      </c>
      <c r="C37" s="168"/>
      <c r="D37" s="168"/>
      <c r="E37" s="168"/>
      <c r="F37" s="168"/>
      <c r="G37" s="168"/>
      <c r="H37" s="168"/>
      <c r="I37" s="168"/>
      <c r="J37" s="168"/>
      <c r="K37" s="168"/>
      <c r="L37" s="168"/>
    </row>
    <row r="38" spans="1:12" ht="12.9">
      <c r="A38" s="162"/>
      <c r="B38" s="168" t="s">
        <v>422</v>
      </c>
      <c r="C38" s="168"/>
      <c r="D38" s="168"/>
      <c r="E38" s="168"/>
      <c r="F38" s="168"/>
      <c r="G38" s="168"/>
      <c r="H38" s="168"/>
      <c r="I38" s="168"/>
      <c r="J38" s="168"/>
      <c r="K38" s="168"/>
      <c r="L38" s="168"/>
    </row>
    <row r="39" spans="1:12" ht="12.9">
      <c r="A39" s="162"/>
      <c r="B39" s="168" t="s">
        <v>423</v>
      </c>
      <c r="C39" s="168"/>
      <c r="D39" s="168"/>
      <c r="E39" s="168"/>
      <c r="F39" s="168"/>
      <c r="G39" s="168"/>
      <c r="H39" s="168"/>
      <c r="I39" s="168"/>
      <c r="J39" s="168"/>
      <c r="K39" s="168"/>
      <c r="L39" s="168"/>
    </row>
    <row r="40" spans="1:12" ht="12.9">
      <c r="A40" s="162"/>
      <c r="B40" s="168" t="s">
        <v>424</v>
      </c>
      <c r="C40" s="168"/>
      <c r="D40" s="168"/>
      <c r="E40" s="168"/>
      <c r="F40" s="168"/>
      <c r="G40" s="168"/>
      <c r="H40" s="168"/>
      <c r="I40" s="168"/>
      <c r="J40" s="168"/>
      <c r="K40" s="168"/>
      <c r="L40" s="168"/>
    </row>
    <row r="41" spans="1:12" ht="12.9">
      <c r="A41" s="162"/>
      <c r="B41" s="168" t="s">
        <v>425</v>
      </c>
      <c r="C41" s="168"/>
      <c r="D41" s="168"/>
      <c r="E41" s="168"/>
      <c r="F41" s="168"/>
      <c r="G41" s="168"/>
      <c r="H41" s="168"/>
      <c r="I41" s="168"/>
      <c r="J41" s="168"/>
      <c r="K41" s="168"/>
      <c r="L41" s="168"/>
    </row>
    <row r="42" spans="1:12">
      <c r="A42" s="162"/>
      <c r="B42" s="168" t="s">
        <v>426</v>
      </c>
      <c r="C42" s="168"/>
      <c r="D42" s="168"/>
      <c r="E42" s="168"/>
      <c r="F42" s="168"/>
      <c r="G42" s="168"/>
      <c r="H42" s="168"/>
      <c r="I42" s="168"/>
      <c r="J42" s="168"/>
      <c r="K42" s="168"/>
      <c r="L42" s="168"/>
    </row>
    <row r="43" spans="1:12" ht="12.9">
      <c r="A43" s="162"/>
      <c r="B43" s="359" t="s">
        <v>434</v>
      </c>
      <c r="C43" s="168"/>
      <c r="D43" s="168"/>
      <c r="E43" s="168"/>
      <c r="F43" s="168"/>
      <c r="G43" s="168"/>
      <c r="H43" s="168"/>
      <c r="I43" s="168"/>
      <c r="J43" s="168"/>
      <c r="K43" s="168"/>
      <c r="L43" s="168"/>
    </row>
    <row r="44" spans="1:12" ht="12.9">
      <c r="A44" s="162"/>
      <c r="B44" s="378" t="s">
        <v>454</v>
      </c>
      <c r="C44" s="168"/>
      <c r="D44" s="168"/>
      <c r="E44" s="168"/>
      <c r="F44" s="168"/>
      <c r="G44" s="168"/>
      <c r="H44" s="168"/>
      <c r="I44" s="168"/>
      <c r="J44" s="168"/>
      <c r="K44" s="168"/>
      <c r="L44" s="168"/>
    </row>
    <row r="46" spans="1:12" ht="12.9">
      <c r="A46" t="s">
        <v>427</v>
      </c>
    </row>
    <row r="47" spans="1:12">
      <c r="A47" s="162" t="s">
        <v>248</v>
      </c>
      <c r="B47" t="s">
        <v>428</v>
      </c>
    </row>
    <row r="48" spans="1:12">
      <c r="A48" s="162"/>
      <c r="B48" t="s">
        <v>381</v>
      </c>
    </row>
    <row r="49" spans="1:12">
      <c r="A49" s="162" t="s">
        <v>248</v>
      </c>
      <c r="B49" t="s">
        <v>429</v>
      </c>
    </row>
    <row r="50" spans="1:12">
      <c r="B50" t="s">
        <v>416</v>
      </c>
    </row>
    <row r="51" spans="1:12">
      <c r="A51" s="162" t="s">
        <v>248</v>
      </c>
      <c r="B51" t="s">
        <v>433</v>
      </c>
    </row>
    <row r="52" spans="1:12">
      <c r="A52" s="162" t="s">
        <v>248</v>
      </c>
      <c r="B52" t="s">
        <v>382</v>
      </c>
    </row>
    <row r="53" spans="1:12">
      <c r="B53" t="s">
        <v>383</v>
      </c>
    </row>
    <row r="54" spans="1:12">
      <c r="A54" s="162" t="s">
        <v>248</v>
      </c>
      <c r="B54" s="166" t="s">
        <v>417</v>
      </c>
      <c r="C54" s="166"/>
      <c r="D54" s="166"/>
      <c r="E54" s="166"/>
      <c r="F54" s="166"/>
      <c r="G54" s="166"/>
      <c r="H54" s="166"/>
      <c r="I54" s="166"/>
      <c r="J54" s="166"/>
      <c r="K54" s="166"/>
      <c r="L54" s="166"/>
    </row>
    <row r="55" spans="1:12">
      <c r="A55" s="162" t="s">
        <v>248</v>
      </c>
      <c r="B55" t="s">
        <v>384</v>
      </c>
    </row>
    <row r="56" spans="1:12">
      <c r="A56" s="162" t="s">
        <v>248</v>
      </c>
      <c r="B56" t="s">
        <v>418</v>
      </c>
    </row>
    <row r="57" spans="1:12">
      <c r="A57" s="162"/>
      <c r="B57" t="s">
        <v>23</v>
      </c>
    </row>
    <row r="58" spans="1:12">
      <c r="A58" s="162" t="s">
        <v>248</v>
      </c>
      <c r="B58" t="s">
        <v>385</v>
      </c>
    </row>
    <row r="59" spans="1:12">
      <c r="A59" s="162" t="s">
        <v>248</v>
      </c>
      <c r="B59" s="166" t="s">
        <v>24</v>
      </c>
      <c r="C59" s="166"/>
      <c r="D59" s="166"/>
      <c r="E59" s="166"/>
      <c r="F59" s="166"/>
      <c r="G59" s="166"/>
      <c r="H59" s="166"/>
      <c r="I59" s="166"/>
      <c r="J59" s="166"/>
      <c r="K59" s="166"/>
      <c r="L59" s="166"/>
    </row>
    <row r="60" spans="1:12">
      <c r="A60" s="162" t="s">
        <v>248</v>
      </c>
      <c r="B60" t="s">
        <v>386</v>
      </c>
    </row>
    <row r="61" spans="1:12" ht="12.9">
      <c r="A61" t="s">
        <v>387</v>
      </c>
      <c r="B61" s="168"/>
      <c r="C61" s="168"/>
      <c r="D61" s="168"/>
      <c r="E61" s="168"/>
      <c r="F61" s="168"/>
      <c r="G61" s="168"/>
      <c r="H61" s="168"/>
      <c r="I61" s="168"/>
      <c r="J61" s="168"/>
      <c r="K61" s="168"/>
      <c r="L61" s="168"/>
    </row>
    <row r="62" spans="1:12">
      <c r="A62" s="162" t="s">
        <v>248</v>
      </c>
      <c r="B62" t="s">
        <v>29</v>
      </c>
    </row>
    <row r="63" spans="1:12" ht="12.9">
      <c r="A63" s="162" t="s">
        <v>248</v>
      </c>
      <c r="B63" s="166" t="s">
        <v>388</v>
      </c>
      <c r="C63" s="166"/>
      <c r="D63" s="166"/>
      <c r="E63" s="166"/>
      <c r="F63" s="166"/>
      <c r="G63" s="166"/>
      <c r="H63" s="166"/>
      <c r="I63" s="166"/>
      <c r="J63" s="166"/>
      <c r="K63" s="166"/>
      <c r="L63" s="166"/>
    </row>
    <row r="64" spans="1:12">
      <c r="A64" s="162"/>
      <c r="B64" s="166" t="s">
        <v>389</v>
      </c>
      <c r="C64" s="166"/>
      <c r="D64" s="166"/>
      <c r="E64" s="166"/>
      <c r="F64" s="166"/>
      <c r="G64" s="166"/>
      <c r="H64" s="166"/>
      <c r="I64" s="166"/>
      <c r="J64" s="166"/>
      <c r="K64" s="166"/>
      <c r="L64" s="166"/>
    </row>
    <row r="65" spans="1:7" ht="12.9">
      <c r="A65" s="162" t="s">
        <v>248</v>
      </c>
      <c r="B65" t="s">
        <v>390</v>
      </c>
    </row>
    <row r="66" spans="1:7">
      <c r="A66" s="162"/>
      <c r="B66" t="s">
        <v>391</v>
      </c>
    </row>
    <row r="67" spans="1:7" ht="12.9">
      <c r="A67" s="162" t="s">
        <v>248</v>
      </c>
      <c r="B67" t="s">
        <v>392</v>
      </c>
    </row>
    <row r="68" spans="1:7">
      <c r="A68" s="162" t="s">
        <v>248</v>
      </c>
      <c r="B68" t="s">
        <v>25</v>
      </c>
    </row>
    <row r="69" spans="1:7">
      <c r="A69" t="s">
        <v>26</v>
      </c>
    </row>
    <row r="70" spans="1:7" ht="13.2" customHeight="1">
      <c r="A70" s="162" t="s">
        <v>248</v>
      </c>
      <c r="B70" t="s">
        <v>30</v>
      </c>
    </row>
    <row r="71" spans="1:7">
      <c r="A71" s="162" t="s">
        <v>248</v>
      </c>
      <c r="B71" t="s">
        <v>393</v>
      </c>
    </row>
    <row r="72" spans="1:7" ht="13.2" customHeight="1">
      <c r="A72" s="162" t="s">
        <v>248</v>
      </c>
      <c r="B72" t="s">
        <v>394</v>
      </c>
    </row>
    <row r="73" spans="1:7" ht="13.2" customHeight="1">
      <c r="A73" s="162"/>
      <c r="B73" t="s">
        <v>395</v>
      </c>
    </row>
    <row r="74" spans="1:7" ht="13.2" customHeight="1">
      <c r="A74" s="162" t="s">
        <v>248</v>
      </c>
      <c r="B74" t="s">
        <v>419</v>
      </c>
    </row>
    <row r="75" spans="1:7" ht="13.2" customHeight="1">
      <c r="A75" s="162"/>
      <c r="B75" t="s">
        <v>396</v>
      </c>
    </row>
    <row r="76" spans="1:7" ht="13.2" customHeight="1">
      <c r="A76" t="s">
        <v>397</v>
      </c>
    </row>
    <row r="77" spans="1:7" ht="13.2" customHeight="1">
      <c r="A77" s="162" t="s">
        <v>248</v>
      </c>
      <c r="B77" t="s">
        <v>398</v>
      </c>
    </row>
    <row r="78" spans="1:7" ht="13.2" customHeight="1">
      <c r="A78" t="s">
        <v>260</v>
      </c>
    </row>
    <row r="79" spans="1:7" ht="13.2" customHeight="1">
      <c r="A79" t="s">
        <v>261</v>
      </c>
    </row>
    <row r="80" spans="1:7" ht="12.9">
      <c r="A80" t="s">
        <v>399</v>
      </c>
      <c r="G80" s="5"/>
    </row>
    <row r="81" spans="1:12" ht="13.2" customHeight="1">
      <c r="A81" s="162" t="s">
        <v>248</v>
      </c>
      <c r="B81" s="167" t="s">
        <v>400</v>
      </c>
      <c r="C81" s="166"/>
      <c r="D81" s="166"/>
      <c r="E81" s="166"/>
      <c r="F81" s="166"/>
      <c r="G81" s="166"/>
      <c r="H81" s="174"/>
      <c r="I81" s="174"/>
      <c r="J81" s="174"/>
      <c r="K81" s="166"/>
      <c r="L81" s="166"/>
    </row>
    <row r="82" spans="1:12" ht="13.2" customHeight="1">
      <c r="A82" s="162"/>
      <c r="B82" s="166" t="s">
        <v>401</v>
      </c>
      <c r="C82" s="166"/>
      <c r="D82" s="166"/>
      <c r="E82" s="166"/>
      <c r="F82" s="166"/>
      <c r="G82" s="166"/>
      <c r="H82" s="174"/>
      <c r="I82" s="174"/>
      <c r="J82" s="174"/>
      <c r="K82" s="166"/>
      <c r="L82" s="166"/>
    </row>
    <row r="83" spans="1:12" ht="13.2" customHeight="1">
      <c r="A83" s="162"/>
      <c r="B83" s="167" t="s">
        <v>402</v>
      </c>
      <c r="C83" s="166"/>
      <c r="D83" s="166"/>
      <c r="E83" s="166"/>
      <c r="F83" s="166"/>
      <c r="G83" s="166"/>
      <c r="H83" s="174"/>
      <c r="I83" s="174"/>
      <c r="J83" s="174"/>
      <c r="K83" s="166"/>
      <c r="L83" s="166"/>
    </row>
    <row r="84" spans="1:12" ht="13.2" customHeight="1">
      <c r="A84" s="162"/>
      <c r="B84" s="167" t="s">
        <v>403</v>
      </c>
      <c r="C84" s="166"/>
      <c r="D84" s="166"/>
      <c r="E84" s="166"/>
      <c r="F84" s="166"/>
      <c r="G84" s="166"/>
      <c r="H84" s="174"/>
      <c r="I84" s="174"/>
      <c r="J84" s="174"/>
      <c r="K84" s="166"/>
      <c r="L84" s="166"/>
    </row>
    <row r="85" spans="1:12">
      <c r="A85" s="347" t="s">
        <v>404</v>
      </c>
    </row>
    <row r="87" spans="1:12" ht="12.9">
      <c r="A87" s="346" t="s">
        <v>405</v>
      </c>
      <c r="B87" s="346"/>
    </row>
    <row r="89" spans="1:12" ht="12.9">
      <c r="A89" s="348" t="s">
        <v>406</v>
      </c>
    </row>
    <row r="90" spans="1:12">
      <c r="A90" s="162" t="s">
        <v>248</v>
      </c>
      <c r="B90" t="s">
        <v>430</v>
      </c>
    </row>
    <row r="91" spans="1:12">
      <c r="A91" s="162" t="s">
        <v>248</v>
      </c>
      <c r="B91" t="s">
        <v>407</v>
      </c>
      <c r="J91" s="249" t="s">
        <v>408</v>
      </c>
    </row>
    <row r="92" spans="1:12">
      <c r="A92" s="162" t="s">
        <v>248</v>
      </c>
      <c r="B92" t="s">
        <v>27</v>
      </c>
    </row>
    <row r="93" spans="1:12">
      <c r="A93" s="162" t="s">
        <v>248</v>
      </c>
      <c r="B93" t="s">
        <v>409</v>
      </c>
    </row>
    <row r="94" spans="1:12">
      <c r="A94" s="162" t="s">
        <v>248</v>
      </c>
      <c r="B94" t="s">
        <v>410</v>
      </c>
    </row>
    <row r="95" spans="1:12">
      <c r="A95" s="162" t="s">
        <v>248</v>
      </c>
      <c r="B95" t="s">
        <v>411</v>
      </c>
    </row>
    <row r="96" spans="1:12">
      <c r="A96" s="162" t="s">
        <v>248</v>
      </c>
      <c r="B96" t="s">
        <v>412</v>
      </c>
    </row>
    <row r="97" spans="1:2">
      <c r="A97" s="162" t="s">
        <v>248</v>
      </c>
      <c r="B97" t="s">
        <v>413</v>
      </c>
    </row>
    <row r="98" spans="1:2" ht="13.2" customHeight="1">
      <c r="A98" s="162" t="s">
        <v>248</v>
      </c>
      <c r="B98" t="s">
        <v>1</v>
      </c>
    </row>
    <row r="99" spans="1:2">
      <c r="A99" s="162" t="s">
        <v>248</v>
      </c>
      <c r="B99" t="s">
        <v>2</v>
      </c>
    </row>
    <row r="100" spans="1:2">
      <c r="A100" s="162" t="s">
        <v>248</v>
      </c>
      <c r="B100" t="s">
        <v>431</v>
      </c>
    </row>
    <row r="101" spans="1:2">
      <c r="A101" s="162" t="s">
        <v>248</v>
      </c>
      <c r="B101" t="s">
        <v>432</v>
      </c>
    </row>
    <row r="102" spans="1:2">
      <c r="A102" s="162"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60"/>
  <dimension ref="A1:AC31"/>
  <sheetViews>
    <sheetView workbookViewId="0">
      <selection activeCell="B1" sqref="B1"/>
    </sheetView>
  </sheetViews>
  <sheetFormatPr defaultRowHeight="12"/>
  <cols>
    <col min="1" max="1" width="1.75" customWidth="1"/>
    <col min="2" max="2" width="5.4140625" customWidth="1"/>
    <col min="3" max="3" width="28.4140625" customWidth="1"/>
    <col min="4" max="4" width="5" customWidth="1"/>
    <col min="5" max="5" width="2.4140625" customWidth="1"/>
    <col min="6" max="6" width="5.4140625" customWidth="1"/>
    <col min="7" max="7" width="28.4140625" customWidth="1"/>
    <col min="8" max="8" width="5" customWidth="1"/>
    <col min="9" max="9" width="2.4140625" customWidth="1"/>
    <col min="10" max="10" width="5.4140625" customWidth="1"/>
    <col min="11" max="11" width="28.4140625" customWidth="1"/>
    <col min="12" max="12" width="5" customWidth="1"/>
    <col min="13" max="13" width="2.4140625" customWidth="1"/>
    <col min="14" max="14" width="5.4140625" customWidth="1"/>
    <col min="15" max="15" width="22.83203125" customWidth="1"/>
    <col min="16" max="16" width="5" customWidth="1"/>
    <col min="17" max="17" width="2.4140625" customWidth="1"/>
    <col min="18" max="18" width="5.4140625" customWidth="1"/>
    <col min="19" max="19" width="25.4140625" customWidth="1"/>
    <col min="20" max="20" width="5" customWidth="1"/>
  </cols>
  <sheetData>
    <row r="1" spans="1:29" ht="32.5" customHeight="1" thickBot="1">
      <c r="A1" s="246" t="str">
        <f>UPPER($D$1)</f>
        <v/>
      </c>
      <c r="B1" s="360">
        <f>IF(TYPE(VLOOKUP(C1,Hřiště!A11:B42,2,0))&gt;3,1,VLOOKUP(C1,Hřiště!A11:B42,2,0))</f>
        <v>1</v>
      </c>
      <c r="C1" s="175" t="s">
        <v>272</v>
      </c>
      <c r="D1" s="176"/>
      <c r="E1" s="247"/>
      <c r="G1" s="248" t="s">
        <v>273</v>
      </c>
      <c r="K1" s="362" t="s">
        <v>436</v>
      </c>
      <c r="L1">
        <f ca="1">IF(TRIM(C4)="-",0,1) + IF(TRIM(C5)="-",0,1) + IF(TRIM(C8)="-",0,1) + IF(TRIM(C9)="-",0,1)</f>
        <v>0</v>
      </c>
      <c r="P1" s="31"/>
      <c r="Q1" s="31"/>
      <c r="R1" s="31"/>
      <c r="S1" s="19"/>
      <c r="T1" s="17"/>
      <c r="U1" s="16"/>
      <c r="V1" s="17"/>
      <c r="W1" s="17"/>
      <c r="X1" s="17"/>
      <c r="Y1" s="16"/>
      <c r="Z1" s="17"/>
    </row>
    <row r="2" spans="1:29" ht="58.95" customHeight="1">
      <c r="A2" s="249"/>
      <c r="B2" s="250" t="s">
        <v>294</v>
      </c>
      <c r="C2" s="251"/>
      <c r="D2" s="252"/>
      <c r="E2" s="250"/>
      <c r="F2" s="250"/>
      <c r="G2" s="365" t="s">
        <v>439</v>
      </c>
      <c r="H2" s="366">
        <f ca="1">INDIRECT(ADDRESS(4,B1,1,1,"Hřiště"))</f>
        <v>1</v>
      </c>
      <c r="I2" s="367" t="s">
        <v>117</v>
      </c>
      <c r="J2" s="366">
        <f ca="1">INDIRECT(ADDRESS(5,B1,1,1,"Hřiště"))</f>
        <v>1</v>
      </c>
      <c r="K2" s="362" t="s">
        <v>437</v>
      </c>
      <c r="L2" s="250">
        <f ca="1">IF(L1=0,0,CHOOSE(L1,0,1,1,2,2,3))</f>
        <v>0</v>
      </c>
      <c r="M2" s="250"/>
      <c r="N2" s="250"/>
      <c r="O2" s="253"/>
      <c r="P2" s="250">
        <f ca="1">INDIRECT(ADDRESS(4,B1,1,1,"Hřiště"))</f>
        <v>1</v>
      </c>
      <c r="S2" s="254"/>
      <c r="T2" s="17"/>
      <c r="U2" s="16"/>
      <c r="V2" s="17"/>
      <c r="W2" s="17"/>
      <c r="X2" s="17"/>
      <c r="Y2" s="16"/>
      <c r="Z2" s="17"/>
    </row>
    <row r="3" spans="1:29" ht="16.95" customHeight="1" thickBot="1">
      <c r="A3" s="250"/>
      <c r="B3" s="255" t="s">
        <v>277</v>
      </c>
      <c r="C3" s="361" t="s">
        <v>438</v>
      </c>
      <c r="D3" s="4">
        <f ca="1">$H$2</f>
        <v>1</v>
      </c>
      <c r="E3" s="250"/>
      <c r="F3" s="250"/>
      <c r="G3" s="253"/>
      <c r="H3" s="250"/>
      <c r="I3" s="250"/>
      <c r="J3" s="250"/>
      <c r="K3" s="253"/>
      <c r="L3" s="250"/>
      <c r="M3" s="250"/>
      <c r="N3" s="250"/>
      <c r="O3" s="253"/>
      <c r="P3" s="250"/>
      <c r="S3" s="254"/>
      <c r="T3" s="17"/>
      <c r="U3" s="16"/>
      <c r="V3" s="17"/>
      <c r="W3" s="17"/>
      <c r="X3" s="17"/>
      <c r="Y3" s="16"/>
      <c r="Z3" s="17"/>
    </row>
    <row r="4" spans="1:29" ht="18.45" thickTop="1" thickBot="1">
      <c r="A4" s="256"/>
      <c r="B4" s="108">
        <v>1</v>
      </c>
      <c r="C4" s="109" t="str">
        <f ca="1">IF(TYPE(VLOOKUP(CONCATENATE($D$1,B4),Skupiny!$A$3:$B$130,2,0))&gt;4," - ",VLOOKUP(CONCATENATE($D$1,B4),Skupiny!$A$3:$B$130,2,0))</f>
        <v xml:space="preserve"> - </v>
      </c>
      <c r="D4" s="155"/>
      <c r="E4" s="257"/>
      <c r="G4" s="258" t="s">
        <v>274</v>
      </c>
      <c r="K4" s="62"/>
      <c r="L4" t="s">
        <v>250</v>
      </c>
      <c r="S4" s="254"/>
      <c r="T4" s="17"/>
      <c r="U4" s="17"/>
      <c r="V4" s="17"/>
      <c r="W4" s="17"/>
      <c r="X4" s="17"/>
      <c r="Y4" s="17"/>
      <c r="Z4" s="17"/>
      <c r="AA4" s="17"/>
    </row>
    <row r="5" spans="1:29" ht="18.45" thickTop="1" thickBot="1">
      <c r="A5" s="259"/>
      <c r="B5" s="110">
        <v>4</v>
      </c>
      <c r="C5" s="109" t="str">
        <f ca="1">IF(TYPE(VLOOKUP(CONCATENATE($D$1,B5),Skupiny!$A$3:$B$130,2,0))&gt;4," - ",VLOOKUP(CONCATENATE($D$1,B5),Skupiny!$A$3:$B$130,2,0))</f>
        <v xml:space="preserve"> - </v>
      </c>
      <c r="D5" s="156"/>
      <c r="E5" s="21"/>
      <c r="F5" s="260"/>
      <c r="G5" s="361" t="s">
        <v>438</v>
      </c>
      <c r="H5" s="4">
        <f ca="1">$H$2</f>
        <v>1</v>
      </c>
      <c r="I5" s="261"/>
      <c r="J5" s="261"/>
      <c r="K5" s="262"/>
      <c r="L5" s="354" t="s">
        <v>18</v>
      </c>
      <c r="T5" s="17"/>
      <c r="U5" s="17"/>
      <c r="V5" s="17"/>
      <c r="W5" s="17"/>
      <c r="X5" s="17"/>
      <c r="Y5" s="17"/>
      <c r="Z5" s="17"/>
      <c r="AA5" s="17"/>
    </row>
    <row r="6" spans="1:29" ht="18.45" thickTop="1" thickBot="1">
      <c r="A6" s="263"/>
      <c r="B6" s="31"/>
      <c r="C6" s="67"/>
      <c r="D6" s="31"/>
      <c r="E6" s="264"/>
      <c r="F6" s="108"/>
      <c r="G6" s="106" t="str">
        <f ca="1">IF(OR(TRIM(C4)="-",TRIM(C5)="-"), IF(TRIM(C4)="-",C5,C4),IF(AND(D4="",D5="")," ",IF(N(D4)&gt;N(D5),C4,C5)))</f>
        <v xml:space="preserve"> - </v>
      </c>
      <c r="H6" s="155"/>
      <c r="I6" s="27"/>
      <c r="J6" s="39"/>
      <c r="K6" s="133" t="str">
        <f>IF(AND(H6="",H7="")," ",IF(N(H6)&gt;N(H7),G6,G7))</f>
        <v xml:space="preserve"> </v>
      </c>
      <c r="L6" s="40">
        <v>1</v>
      </c>
      <c r="M6" s="265"/>
      <c r="S6" s="254"/>
      <c r="T6" s="17"/>
      <c r="U6" s="16"/>
      <c r="V6" s="17"/>
      <c r="W6" s="17"/>
      <c r="X6" s="17"/>
      <c r="Y6" s="16"/>
      <c r="Z6" s="17"/>
      <c r="AA6" s="17"/>
      <c r="AB6" s="17"/>
      <c r="AC6" s="18"/>
    </row>
    <row r="7" spans="1:29" ht="18.45" thickTop="1" thickBot="1">
      <c r="A7" s="249"/>
      <c r="B7" s="261"/>
      <c r="C7" s="361" t="s">
        <v>438</v>
      </c>
      <c r="D7" s="4">
        <f ca="1">$J$2</f>
        <v>1</v>
      </c>
      <c r="E7" s="267"/>
      <c r="F7" s="110"/>
      <c r="G7" s="105" t="str">
        <f ca="1">IF(OR(TRIM(C8)="-",TRIM(C9)="-"), IF(TRIM(C8)="-",C9,C8),IF(AND(D8="",D9="")," ",IF(N(D8)&gt;N(D9),C8,C9)))</f>
        <v xml:space="preserve"> - </v>
      </c>
      <c r="H7" s="156"/>
      <c r="I7" s="268"/>
      <c r="J7" s="269"/>
      <c r="K7" s="67"/>
      <c r="L7" s="269"/>
      <c r="S7" s="254"/>
      <c r="T7" s="17"/>
      <c r="U7" s="16"/>
      <c r="V7" s="17"/>
      <c r="W7" s="17"/>
      <c r="X7" s="17"/>
      <c r="Y7" s="16"/>
      <c r="Z7" s="17"/>
      <c r="AA7" s="17"/>
      <c r="AB7" s="17"/>
      <c r="AC7" s="17"/>
    </row>
    <row r="8" spans="1:29" ht="18.45" thickTop="1" thickBot="1">
      <c r="A8" s="256"/>
      <c r="B8" s="108">
        <v>2</v>
      </c>
      <c r="C8" s="109" t="str">
        <f ca="1">IF(TYPE(VLOOKUP(CONCATENATE($D$1,B8),Skupiny!$A$3:$B$130,2,0))&gt;4," - ",VLOOKUP(CONCATENATE($D$1,B8),Skupiny!$A$3:$B$130,2,0))</f>
        <v xml:space="preserve"> - </v>
      </c>
      <c r="D8" s="155"/>
      <c r="E8" s="27"/>
      <c r="F8" s="270"/>
      <c r="G8" s="67"/>
      <c r="H8" s="31"/>
      <c r="S8" s="254"/>
      <c r="T8" s="17"/>
      <c r="U8" s="16"/>
      <c r="V8" s="17"/>
      <c r="W8" s="17"/>
      <c r="X8" s="17"/>
      <c r="Y8" s="16"/>
      <c r="Z8" s="17"/>
      <c r="AA8" s="17"/>
      <c r="AB8" s="17"/>
      <c r="AC8" s="17"/>
    </row>
    <row r="9" spans="1:29" ht="18.45" thickTop="1" thickBot="1">
      <c r="A9" s="33"/>
      <c r="B9" s="110">
        <v>3</v>
      </c>
      <c r="C9" s="109" t="str">
        <f ca="1">IF(TYPE(VLOOKUP(CONCATENATE($D$1,B9),Skupiny!$A$3:$B$130,2,0))&gt;4," - ",VLOOKUP(CONCATENATE($D$1,B9),Skupiny!$A$3:$B$130,2,0))</f>
        <v xml:space="preserve"> - </v>
      </c>
      <c r="D9" s="156"/>
      <c r="E9" s="28"/>
      <c r="F9" s="265"/>
      <c r="G9" s="63"/>
      <c r="I9" s="63"/>
      <c r="J9" s="63"/>
      <c r="K9" s="63"/>
      <c r="L9" s="63"/>
      <c r="M9" s="63"/>
      <c r="N9" s="63"/>
      <c r="O9" s="63"/>
      <c r="P9" s="63"/>
      <c r="S9" s="254"/>
      <c r="T9" s="17"/>
      <c r="U9" s="17"/>
      <c r="V9" s="17"/>
      <c r="W9" s="17"/>
      <c r="X9" s="17"/>
      <c r="Y9" s="17"/>
      <c r="Z9" s="17"/>
      <c r="AA9" s="17"/>
    </row>
    <row r="10" spans="1:29" ht="13.3">
      <c r="A10" s="249"/>
      <c r="B10" s="31"/>
      <c r="C10" s="67"/>
      <c r="D10" s="31"/>
      <c r="E10" s="19"/>
      <c r="F10" s="265"/>
      <c r="G10" s="258" t="s">
        <v>275</v>
      </c>
      <c r="I10" s="271"/>
      <c r="J10" s="271"/>
      <c r="K10" s="271"/>
      <c r="L10" s="271"/>
      <c r="M10" s="271"/>
      <c r="N10" s="271"/>
      <c r="O10" s="271"/>
      <c r="P10" s="271"/>
      <c r="S10" s="254"/>
      <c r="T10" s="17"/>
      <c r="U10" s="17"/>
      <c r="V10" s="17"/>
      <c r="W10" s="17"/>
      <c r="X10" s="17"/>
      <c r="Y10" s="17"/>
      <c r="Z10" s="17"/>
    </row>
    <row r="11" spans="1:29" ht="13.75" thickBot="1">
      <c r="A11" s="263"/>
      <c r="C11" s="63"/>
      <c r="E11" s="254"/>
      <c r="F11" s="89"/>
      <c r="G11" s="361" t="s">
        <v>438</v>
      </c>
      <c r="H11" s="4">
        <f ca="1">$J$2</f>
        <v>1</v>
      </c>
      <c r="I11" s="271"/>
      <c r="J11" s="271"/>
      <c r="K11" s="271"/>
      <c r="L11" s="271"/>
      <c r="M11" s="271"/>
      <c r="N11" s="271"/>
      <c r="O11" s="271"/>
      <c r="P11" s="271"/>
      <c r="S11" s="254"/>
      <c r="T11" s="17"/>
      <c r="U11" s="17"/>
      <c r="V11" s="17"/>
      <c r="W11" s="17"/>
      <c r="X11" s="16"/>
      <c r="Y11" s="17"/>
      <c r="Z11" s="17"/>
      <c r="AA11" s="17"/>
      <c r="AB11" s="18"/>
    </row>
    <row r="12" spans="1:29" ht="18.45" thickTop="1" thickBot="1">
      <c r="A12" s="249"/>
      <c r="C12" s="63"/>
      <c r="E12" s="254"/>
      <c r="F12" s="108"/>
      <c r="G12" s="109" t="str">
        <f ca="1">IF(OR(TRIM(C4)="-",TRIM(C5)="-"), IF(TRIM(C4)="-",C4,C5),IF(AND(D4="",D5="")," ",IF(N(D5)&gt;N(D4),C4,C5)))</f>
        <v xml:space="preserve"> - </v>
      </c>
      <c r="H12" s="155"/>
      <c r="I12" s="273"/>
      <c r="J12" s="272"/>
      <c r="K12" s="266"/>
      <c r="L12" s="266"/>
      <c r="P12" s="271"/>
      <c r="Q12" s="271"/>
      <c r="R12" s="271"/>
      <c r="S12" s="274"/>
      <c r="T12" s="69"/>
      <c r="U12" s="17"/>
      <c r="V12" s="17"/>
      <c r="W12" s="17"/>
      <c r="X12" s="17"/>
      <c r="Y12" s="17"/>
      <c r="Z12" s="17"/>
    </row>
    <row r="13" spans="1:29" ht="18.45" thickTop="1" thickBot="1">
      <c r="A13" s="249"/>
      <c r="B13" s="275"/>
      <c r="C13" s="276"/>
      <c r="D13" s="276"/>
      <c r="E13" s="254"/>
      <c r="F13" s="110"/>
      <c r="G13" s="111" t="str">
        <f ca="1">IF(OR(TRIM(C8)="-",TRIM(C9)="-"), IF(TRIM(C8)="-",C8,C9),IF(AND(D8="",D9="")," ",IF(N(D9)&gt;N(D8),C8,C9)))</f>
        <v xml:space="preserve"> - </v>
      </c>
      <c r="H13" s="156"/>
      <c r="I13" s="183"/>
      <c r="J13" s="39"/>
      <c r="K13" s="131" t="str">
        <f>IF(AND(H12="",H13="")," ",IF(N(H13)&gt;N(H12),G12,G13))</f>
        <v xml:space="preserve"> </v>
      </c>
      <c r="L13" s="130">
        <v>4</v>
      </c>
      <c r="M13" s="265"/>
      <c r="S13" s="254"/>
      <c r="T13" s="17"/>
      <c r="U13" s="17"/>
      <c r="V13" s="17"/>
      <c r="W13" s="17"/>
      <c r="X13" s="17"/>
      <c r="Y13" s="17"/>
      <c r="Z13" s="17"/>
    </row>
    <row r="14" spans="1:29">
      <c r="A14" s="249"/>
      <c r="F14" s="31"/>
      <c r="G14" s="37"/>
      <c r="H14" s="31"/>
      <c r="I14" s="31"/>
      <c r="J14" s="31"/>
      <c r="K14" s="31"/>
      <c r="L14" s="31"/>
      <c r="S14" s="254"/>
      <c r="T14" s="17"/>
      <c r="U14" s="17"/>
      <c r="V14" s="17"/>
      <c r="W14" s="17"/>
      <c r="X14" s="17"/>
      <c r="Y14" s="17"/>
      <c r="Z14" s="17"/>
    </row>
    <row r="15" spans="1:29">
      <c r="A15" s="263"/>
      <c r="S15" s="254"/>
      <c r="T15" s="17"/>
      <c r="U15" s="17"/>
      <c r="V15" s="17"/>
      <c r="W15" s="17"/>
      <c r="X15" s="17"/>
      <c r="Y15" s="17"/>
      <c r="Z15" s="17"/>
    </row>
    <row r="16" spans="1:29" ht="13.3">
      <c r="A16" s="263"/>
      <c r="D16" s="276"/>
      <c r="G16" s="258" t="s">
        <v>276</v>
      </c>
      <c r="P16" s="271"/>
      <c r="S16" s="254"/>
      <c r="T16" s="17"/>
      <c r="U16" s="17"/>
      <c r="V16" s="17"/>
      <c r="W16" s="17"/>
      <c r="X16" s="17"/>
      <c r="Y16" s="17"/>
      <c r="Z16" s="17"/>
    </row>
    <row r="17" spans="1:26" ht="13.75" thickBot="1">
      <c r="A17" s="276"/>
      <c r="G17" s="361" t="s">
        <v>438</v>
      </c>
      <c r="H17" s="4">
        <f ca="1">$H$2</f>
        <v>1</v>
      </c>
      <c r="I17" s="271"/>
      <c r="J17" s="271"/>
      <c r="K17" s="271"/>
      <c r="L17" s="271"/>
      <c r="S17" s="254"/>
      <c r="T17" s="17"/>
      <c r="U17" s="17"/>
      <c r="V17" s="17"/>
      <c r="W17" s="17"/>
      <c r="X17" s="17"/>
      <c r="Y17" s="17"/>
      <c r="Z17" s="17"/>
    </row>
    <row r="18" spans="1:26" ht="18.45" thickTop="1" thickBot="1">
      <c r="A18" s="276"/>
      <c r="F18" s="108"/>
      <c r="G18" s="109" t="str">
        <f>IF(AND(H6="",H7="")," ",IF(N(H7)&gt;N(H6),G6,G7))</f>
        <v xml:space="preserve"> </v>
      </c>
      <c r="H18" s="155"/>
      <c r="I18" s="3"/>
      <c r="J18" s="39"/>
      <c r="K18" s="131" t="str">
        <f>IF(AND(H18="",H19="")," ",IF(N(H18)&gt;N(H19),G18,G19))</f>
        <v xml:space="preserve"> </v>
      </c>
      <c r="L18" s="130">
        <v>2</v>
      </c>
      <c r="S18" s="254"/>
      <c r="T18" s="17"/>
      <c r="U18" s="17"/>
      <c r="V18" s="17"/>
      <c r="W18" s="17"/>
      <c r="X18" s="17"/>
      <c r="Y18" s="17"/>
      <c r="Z18" s="17"/>
    </row>
    <row r="19" spans="1:26" ht="18.45" thickTop="1" thickBot="1">
      <c r="A19" s="249"/>
      <c r="C19" s="63"/>
      <c r="F19" s="110"/>
      <c r="G19" s="111" t="str">
        <f>IF(AND(H12="",H13="")," ",IF(N(H12)&gt;N(H13),G12,G13))</f>
        <v xml:space="preserve"> </v>
      </c>
      <c r="H19" s="156"/>
      <c r="I19" s="3"/>
      <c r="J19" s="39"/>
      <c r="K19" s="131" t="str">
        <f>IF(AND(H18="",H19="")," ",IF(N(H19)&gt;N(H18),G18,G19))</f>
        <v xml:space="preserve"> </v>
      </c>
      <c r="L19" s="130">
        <v>3</v>
      </c>
      <c r="P19" s="271"/>
      <c r="Q19" s="271"/>
      <c r="R19" s="271"/>
      <c r="S19" s="274"/>
      <c r="T19" s="69"/>
      <c r="U19" s="17"/>
      <c r="V19" s="17"/>
      <c r="W19" s="17"/>
      <c r="X19" s="17"/>
      <c r="Y19" s="17"/>
      <c r="Z19" s="17"/>
    </row>
    <row r="20" spans="1:26" ht="13.3">
      <c r="A20" s="249"/>
      <c r="C20" s="63"/>
      <c r="G20" s="62"/>
      <c r="P20" s="271"/>
      <c r="Q20" s="271"/>
      <c r="R20" s="271"/>
      <c r="S20" s="274"/>
      <c r="T20" s="69"/>
      <c r="U20" s="17"/>
      <c r="V20" s="17"/>
      <c r="W20" s="17"/>
      <c r="X20" s="17"/>
      <c r="Y20" s="17"/>
      <c r="Z20" s="17"/>
    </row>
    <row r="21" spans="1:26" ht="13.3">
      <c r="A21" s="249"/>
      <c r="C21" s="63"/>
      <c r="P21" s="271"/>
      <c r="Q21" s="271"/>
      <c r="R21" s="271"/>
      <c r="S21" s="274"/>
      <c r="T21" s="69"/>
      <c r="U21" s="17"/>
      <c r="V21" s="17"/>
      <c r="W21" s="17"/>
      <c r="X21" s="17"/>
      <c r="Y21" s="17"/>
      <c r="Z21" s="17"/>
    </row>
    <row r="22" spans="1:26" ht="13.3">
      <c r="A22" s="249"/>
      <c r="C22" s="63"/>
      <c r="P22" s="271"/>
      <c r="Q22" s="271"/>
      <c r="R22" s="271"/>
      <c r="S22" s="274"/>
      <c r="T22" s="69"/>
      <c r="U22" s="17"/>
      <c r="V22" s="17"/>
      <c r="W22" s="17"/>
      <c r="X22" s="17"/>
      <c r="Y22" s="17"/>
      <c r="Z22" s="17"/>
    </row>
    <row r="23" spans="1:26" ht="13.3">
      <c r="A23" s="249"/>
      <c r="C23" s="63"/>
      <c r="G23" s="271"/>
      <c r="P23" s="271"/>
      <c r="Q23" s="271"/>
      <c r="R23" s="271"/>
      <c r="S23" s="274"/>
      <c r="T23" s="69"/>
      <c r="U23" s="17"/>
      <c r="V23" s="17"/>
      <c r="W23" s="17"/>
      <c r="X23" s="17"/>
      <c r="Y23" s="17"/>
      <c r="Z23" s="17"/>
    </row>
    <row r="24" spans="1:26" ht="13.3">
      <c r="A24" s="249"/>
      <c r="C24" s="63"/>
      <c r="G24" s="271"/>
      <c r="P24" s="271"/>
      <c r="Q24" s="271"/>
      <c r="R24" s="271"/>
      <c r="S24" s="274"/>
      <c r="T24" s="69"/>
      <c r="U24" s="17"/>
      <c r="V24" s="17"/>
      <c r="W24" s="17"/>
      <c r="X24" s="17"/>
      <c r="Y24" s="17"/>
      <c r="Z24" s="17"/>
    </row>
    <row r="25" spans="1:26" ht="13.3">
      <c r="A25" s="249"/>
      <c r="C25" s="63"/>
      <c r="G25" s="271"/>
      <c r="P25" s="271"/>
      <c r="Q25" s="271"/>
      <c r="R25" s="271"/>
      <c r="S25" s="274"/>
      <c r="T25" s="69"/>
      <c r="U25" s="17"/>
      <c r="V25" s="17"/>
      <c r="W25" s="17"/>
      <c r="X25" s="17"/>
      <c r="Y25" s="17"/>
      <c r="Z25" s="17"/>
    </row>
    <row r="26" spans="1:26" ht="13.3">
      <c r="A26" s="249"/>
      <c r="C26" s="63"/>
      <c r="G26" s="271"/>
      <c r="P26" s="271"/>
      <c r="Q26" s="271"/>
      <c r="R26" s="271"/>
      <c r="S26" s="274"/>
      <c r="T26" s="69"/>
      <c r="U26" s="17"/>
      <c r="V26" s="17"/>
      <c r="W26" s="17"/>
      <c r="X26" s="17"/>
      <c r="Y26" s="17"/>
      <c r="Z26" s="17"/>
    </row>
    <row r="27" spans="1:26" ht="13.3">
      <c r="A27" s="277"/>
      <c r="C27" s="63"/>
      <c r="G27" s="271"/>
      <c r="P27" s="271"/>
      <c r="Q27" s="271"/>
      <c r="R27" s="271"/>
      <c r="S27" s="274"/>
      <c r="T27" s="69"/>
      <c r="U27" s="17"/>
      <c r="V27" s="17"/>
      <c r="W27" s="17"/>
      <c r="X27" s="17"/>
      <c r="Y27" s="17"/>
      <c r="Z27" s="17"/>
    </row>
    <row r="28" spans="1:26" ht="13.3">
      <c r="A28" s="277"/>
      <c r="C28" s="63"/>
      <c r="G28" s="271"/>
      <c r="P28" s="271"/>
      <c r="Q28" s="271"/>
      <c r="R28" s="271"/>
      <c r="S28" s="274"/>
      <c r="T28" s="69"/>
      <c r="U28" s="17"/>
      <c r="V28" s="17"/>
      <c r="W28" s="17"/>
      <c r="X28" s="17"/>
      <c r="Y28" s="17"/>
      <c r="Z28" s="17"/>
    </row>
    <row r="29" spans="1:26" ht="13.3">
      <c r="A29" s="277"/>
      <c r="C29" s="63"/>
      <c r="G29" s="271"/>
      <c r="P29" s="271"/>
      <c r="Q29" s="271"/>
      <c r="R29" s="271"/>
      <c r="S29" s="274"/>
      <c r="T29" s="69"/>
      <c r="U29" s="17"/>
      <c r="V29" s="17"/>
      <c r="W29" s="17"/>
      <c r="X29" s="17"/>
      <c r="Y29" s="17"/>
      <c r="Z29" s="17"/>
    </row>
    <row r="30" spans="1:26" ht="13.3">
      <c r="A30" s="277"/>
      <c r="C30" s="63"/>
      <c r="G30" s="271"/>
      <c r="P30" s="271"/>
      <c r="Q30" s="271"/>
      <c r="R30" s="271"/>
      <c r="S30" s="274"/>
      <c r="T30" s="69"/>
      <c r="U30" s="17"/>
      <c r="V30" s="17"/>
      <c r="W30" s="17"/>
      <c r="X30" s="17"/>
      <c r="Y30" s="17"/>
      <c r="Z30" s="17"/>
    </row>
    <row r="31" spans="1:26" ht="13.3">
      <c r="A31" s="278"/>
      <c r="C31" s="63"/>
      <c r="D31" s="261"/>
      <c r="G31" s="271"/>
      <c r="P31" s="271"/>
      <c r="Q31" s="271"/>
      <c r="R31" s="271"/>
      <c r="S31" s="274"/>
      <c r="T31" s="69"/>
      <c r="U31" s="17"/>
      <c r="V31" s="17"/>
      <c r="W31" s="17"/>
      <c r="X31" s="17"/>
      <c r="Y31" s="17"/>
      <c r="Z31" s="17"/>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20">
    <tabColor theme="0" tint="-0.499984740745262"/>
    <pageSetUpPr fitToPage="1"/>
  </sheetPr>
  <dimension ref="A1:AC31"/>
  <sheetViews>
    <sheetView view="pageBreakPreview" zoomScale="120" zoomScaleNormal="120" workbookViewId="0">
      <pane xSplit="3" topLeftCell="D1" activePane="topRight" state="frozen"/>
      <selection pane="topRight" activeCell="D4" sqref="D4"/>
    </sheetView>
  </sheetViews>
  <sheetFormatPr defaultRowHeight="12"/>
  <cols>
    <col min="1" max="1" width="1" customWidth="1"/>
    <col min="2" max="2" width="5.4140625" customWidth="1"/>
    <col min="3" max="3" width="28.4140625" customWidth="1"/>
    <col min="4" max="4" width="5" customWidth="1"/>
    <col min="5" max="5" width="2.4140625" customWidth="1"/>
    <col min="6" max="6" width="5.4140625" customWidth="1"/>
    <col min="7" max="7" width="28.4140625" customWidth="1"/>
    <col min="8" max="8" width="5" customWidth="1"/>
    <col min="9" max="9" width="2.4140625" customWidth="1"/>
    <col min="10" max="10" width="5.4140625" customWidth="1"/>
    <col min="11" max="11" width="28.4140625" customWidth="1"/>
    <col min="12" max="12" width="5" customWidth="1"/>
    <col min="13" max="13" width="2.4140625" customWidth="1"/>
    <col min="14" max="14" width="5.4140625" customWidth="1"/>
    <col min="15" max="15" width="22.83203125" customWidth="1"/>
    <col min="16" max="16" width="5" customWidth="1"/>
    <col min="17" max="17" width="2.4140625" customWidth="1"/>
    <col min="18" max="18" width="5.4140625" customWidth="1"/>
    <col min="19" max="19" width="25.4140625" customWidth="1"/>
    <col min="20" max="20" width="5" customWidth="1"/>
  </cols>
  <sheetData>
    <row r="1" spans="1:29" ht="32.5" customHeight="1" thickBot="1">
      <c r="A1" s="246" t="str">
        <f>UPPER($D$1)</f>
        <v>A</v>
      </c>
      <c r="B1" s="360">
        <f>IF(TYPE(VLOOKUP(D1,Hřiště!A11:B42,2,0))&gt;3,1,VLOOKUP(D1,Hřiště!A11:B42,2,0))</f>
        <v>1</v>
      </c>
      <c r="C1" s="175" t="s">
        <v>113</v>
      </c>
      <c r="D1" s="176" t="s">
        <v>83</v>
      </c>
      <c r="E1" s="247"/>
      <c r="G1" s="248" t="s">
        <v>440</v>
      </c>
      <c r="K1" s="362" t="s">
        <v>441</v>
      </c>
      <c r="L1">
        <f ca="1">IF(TRIM(C4)="-",0,1) + IF(TRIM(C5)="-",0,1) + IF(TRIM(C8)="-",0,1) + IF(TRIM(C9)="-",0,1)</f>
        <v>3</v>
      </c>
      <c r="P1" s="31"/>
      <c r="Q1" s="31"/>
      <c r="R1" s="31"/>
      <c r="S1" s="19"/>
      <c r="T1" s="17"/>
      <c r="U1" s="16"/>
      <c r="V1" s="17"/>
      <c r="W1" s="17"/>
      <c r="X1" s="17"/>
      <c r="Y1" s="16"/>
      <c r="Z1" s="17"/>
    </row>
    <row r="2" spans="1:29" ht="58.95" customHeight="1">
      <c r="A2" s="249"/>
      <c r="B2" s="250"/>
      <c r="C2" s="251"/>
      <c r="D2" s="252"/>
      <c r="E2" s="250"/>
      <c r="F2" s="250"/>
      <c r="G2" s="365" t="s">
        <v>439</v>
      </c>
      <c r="H2" s="366">
        <f ca="1">INDIRECT(ADDRESS(4,B1,1,1,"Hřiště"))</f>
        <v>1</v>
      </c>
      <c r="I2" s="367" t="s">
        <v>117</v>
      </c>
      <c r="J2" s="366">
        <f ca="1">INDIRECT(ADDRESS(5,B1,1,1,"Hřiště"))</f>
        <v>1</v>
      </c>
      <c r="K2" s="362" t="s">
        <v>442</v>
      </c>
      <c r="L2" s="250">
        <f ca="1">IF(L1=0,0,CHOOSE(L1,0,1,1,2,2,3))</f>
        <v>1</v>
      </c>
      <c r="M2" s="250"/>
      <c r="N2" s="250"/>
      <c r="O2" s="253"/>
      <c r="P2" s="250"/>
      <c r="S2" s="254"/>
      <c r="T2" s="17"/>
      <c r="U2" s="16"/>
      <c r="V2" s="17"/>
      <c r="W2" s="17"/>
      <c r="X2" s="17"/>
      <c r="Y2" s="16"/>
      <c r="Z2" s="17"/>
    </row>
    <row r="3" spans="1:29" ht="16.95" customHeight="1" thickBot="1">
      <c r="A3" s="250"/>
      <c r="B3" s="250" t="s">
        <v>294</v>
      </c>
      <c r="C3" s="361" t="s">
        <v>19</v>
      </c>
      <c r="D3" s="4">
        <f ca="1">$H$2</f>
        <v>1</v>
      </c>
      <c r="E3" s="250"/>
      <c r="F3" s="250"/>
      <c r="G3" s="253"/>
      <c r="H3" s="250"/>
      <c r="I3" s="250"/>
      <c r="J3" s="250"/>
      <c r="K3" s="253"/>
      <c r="L3" s="250"/>
      <c r="M3" s="250"/>
      <c r="N3" s="250"/>
      <c r="O3" s="253"/>
      <c r="P3" s="250"/>
      <c r="S3" s="254"/>
      <c r="T3" s="17"/>
      <c r="U3" s="16"/>
      <c r="V3" s="17"/>
      <c r="W3" s="17"/>
      <c r="X3" s="17"/>
      <c r="Y3" s="16"/>
      <c r="Z3" s="17"/>
    </row>
    <row r="4" spans="1:29" ht="18.45" thickTop="1" thickBot="1">
      <c r="A4" s="256"/>
      <c r="B4" s="108">
        <v>1</v>
      </c>
      <c r="C4" s="109" t="str">
        <f ca="1">IF(TYPE(VLOOKUP(CONCATENATE($D$1,B4),Skupiny!$A$3:$B$130,2,0))&gt;4," - ",VLOOKUP(CONCATENATE($D$1,B4),Skupiny!$A$3:$B$130,2,0))</f>
        <v>1 Carreau Brno - Michálek Tomáš</v>
      </c>
      <c r="D4" s="483"/>
      <c r="E4" s="257"/>
      <c r="G4" s="258" t="s">
        <v>46</v>
      </c>
      <c r="K4" s="62"/>
      <c r="L4" t="s">
        <v>250</v>
      </c>
      <c r="S4" s="254"/>
      <c r="T4" s="17"/>
      <c r="U4" s="17"/>
      <c r="V4" s="17"/>
      <c r="W4" s="17"/>
      <c r="X4" s="17"/>
      <c r="Y4" s="17"/>
      <c r="Z4" s="17"/>
      <c r="AA4" s="17"/>
    </row>
    <row r="5" spans="1:29" ht="18.45" thickTop="1" thickBot="1">
      <c r="A5" s="259"/>
      <c r="B5" s="110">
        <v>4</v>
      </c>
      <c r="C5" s="109" t="str">
        <f ca="1">IF(TYPE(VLOOKUP(CONCATENATE($D$1,B5),Skupiny!$A$3:$B$130,2,0))&gt;4," - ",VLOOKUP(CONCATENATE($D$1,B5),Skupiny!$A$3:$B$130,2,0))</f>
        <v xml:space="preserve"> - </v>
      </c>
      <c r="D5" s="484"/>
      <c r="E5" s="21"/>
      <c r="F5" s="260"/>
      <c r="G5" s="361" t="s">
        <v>19</v>
      </c>
      <c r="H5" s="4">
        <f ca="1">$H$2</f>
        <v>1</v>
      </c>
      <c r="I5" s="261"/>
      <c r="J5" s="261"/>
      <c r="K5" s="262"/>
      <c r="L5" s="354"/>
      <c r="T5" s="17"/>
      <c r="U5" s="17"/>
      <c r="V5" s="17"/>
      <c r="W5" s="17"/>
      <c r="X5" s="17"/>
      <c r="Y5" s="17"/>
      <c r="Z5" s="17"/>
      <c r="AA5" s="17"/>
    </row>
    <row r="6" spans="1:29" ht="18.45" thickTop="1" thickBot="1">
      <c r="A6" s="263"/>
      <c r="B6" s="31"/>
      <c r="C6" s="67"/>
      <c r="D6" s="31"/>
      <c r="E6" s="264"/>
      <c r="F6" s="108"/>
      <c r="G6" s="106" t="str">
        <f ca="1">IF(OR(TRIM(C4)="-",TRIM(C5)="-"), IF(TRIM(C4)="-",C5,C4),IF(AND(D4="",D5="")," ",IF(N(D4)&gt;N(D5),C4,C5)))</f>
        <v>1 Carreau Brno - Michálek Tomáš</v>
      </c>
      <c r="H6" s="483"/>
      <c r="I6" s="27"/>
      <c r="J6" s="39"/>
      <c r="K6" s="133" t="str">
        <f>IF(AND(H6="",H7="")," ",IF(N(H6)&gt;N(H7),G6,G7))</f>
        <v xml:space="preserve"> </v>
      </c>
      <c r="L6" s="40">
        <v>1</v>
      </c>
      <c r="M6" s="265"/>
      <c r="S6" s="254"/>
      <c r="T6" s="17"/>
      <c r="U6" s="16"/>
      <c r="V6" s="17"/>
      <c r="W6" s="17"/>
      <c r="X6" s="17"/>
      <c r="Y6" s="16"/>
      <c r="Z6" s="17"/>
      <c r="AA6" s="17"/>
      <c r="AB6" s="17"/>
      <c r="AC6" s="18"/>
    </row>
    <row r="7" spans="1:29" ht="18.45" thickTop="1" thickBot="1">
      <c r="A7" s="249"/>
      <c r="B7" s="261"/>
      <c r="C7" s="361" t="s">
        <v>19</v>
      </c>
      <c r="D7" s="4">
        <f ca="1">$J$2</f>
        <v>1</v>
      </c>
      <c r="E7" s="267"/>
      <c r="F7" s="110"/>
      <c r="G7" s="105" t="str">
        <f ca="1">IF(OR(TRIM(C8)="-",TRIM(C9)="-"), IF(TRIM(C8)="-",C9,C8),IF(AND(D8="",D9="")," ",IF(N(D8)&gt;N(D9),C8,C9)))</f>
        <v xml:space="preserve"> </v>
      </c>
      <c r="H7" s="484"/>
      <c r="I7" s="268"/>
      <c r="J7" s="269"/>
      <c r="K7" s="67"/>
      <c r="L7" s="269"/>
      <c r="S7" s="254"/>
      <c r="T7" s="17"/>
      <c r="U7" s="16"/>
      <c r="V7" s="17"/>
      <c r="W7" s="17"/>
      <c r="X7" s="17"/>
      <c r="Y7" s="16"/>
      <c r="Z7" s="17"/>
      <c r="AA7" s="17"/>
      <c r="AB7" s="17"/>
      <c r="AC7" s="17"/>
    </row>
    <row r="8" spans="1:29" ht="18.45" thickTop="1" thickBot="1">
      <c r="A8" s="256"/>
      <c r="B8" s="108">
        <v>2</v>
      </c>
      <c r="C8" s="109" t="str">
        <f ca="1">IF(TYPE(VLOOKUP(CONCATENATE($D$1,B8),Skupiny!$A$3:$B$130,2,0))&gt;4," - ",VLOOKUP(CONCATENATE($D$1,B8),Skupiny!$A$3:$B$130,2,0))</f>
        <v>32 Petank Club Praha - Maňák Jan</v>
      </c>
      <c r="D8" s="483"/>
      <c r="E8" s="27"/>
      <c r="F8" s="270"/>
      <c r="G8" s="67"/>
      <c r="H8" s="31"/>
      <c r="S8" s="254"/>
      <c r="T8" s="17"/>
      <c r="U8" s="16"/>
      <c r="V8" s="17"/>
      <c r="W8" s="17"/>
      <c r="X8" s="17"/>
      <c r="Y8" s="16"/>
      <c r="Z8" s="17"/>
      <c r="AA8" s="17"/>
      <c r="AB8" s="17"/>
      <c r="AC8" s="17"/>
    </row>
    <row r="9" spans="1:29" ht="18.45" thickTop="1" thickBot="1">
      <c r="A9" s="33"/>
      <c r="B9" s="110">
        <v>3</v>
      </c>
      <c r="C9" s="109" t="str">
        <f ca="1">IF(TYPE(VLOOKUP(CONCATENATE($D$1,B9),Skupiny!$A$3:$B$130,2,0))&gt;4," - ",VLOOKUP(CONCATENATE($D$1,B9),Skupiny!$A$3:$B$130,2,0))</f>
        <v>33 HRODE KRUMSÍN - Ptáčková Eliška</v>
      </c>
      <c r="D9" s="484"/>
      <c r="E9" s="28"/>
      <c r="F9" s="265"/>
      <c r="G9" s="63"/>
      <c r="I9" s="63"/>
      <c r="J9" s="63"/>
      <c r="K9" s="63"/>
      <c r="L9" s="63"/>
      <c r="M9" s="63"/>
      <c r="N9" s="63"/>
      <c r="O9" s="63"/>
      <c r="P9" s="63"/>
      <c r="S9" s="254"/>
      <c r="T9" s="17"/>
      <c r="U9" s="17"/>
      <c r="V9" s="17"/>
      <c r="W9" s="17"/>
      <c r="X9" s="17"/>
      <c r="Y9" s="17"/>
      <c r="Z9" s="17"/>
      <c r="AA9" s="17"/>
    </row>
    <row r="10" spans="1:29" ht="13.3">
      <c r="A10" s="249"/>
      <c r="B10" s="31"/>
      <c r="C10" s="67"/>
      <c r="D10" s="31"/>
      <c r="E10" s="19"/>
      <c r="F10" s="265"/>
      <c r="G10" s="258" t="s">
        <v>47</v>
      </c>
      <c r="I10" s="271"/>
      <c r="J10" s="271"/>
      <c r="K10" s="271"/>
      <c r="L10" s="271"/>
      <c r="M10" s="271"/>
      <c r="N10" s="271"/>
      <c r="O10" s="271"/>
      <c r="P10" s="271"/>
      <c r="S10" s="254"/>
      <c r="T10" s="17"/>
      <c r="U10" s="17"/>
      <c r="V10" s="17"/>
      <c r="W10" s="17"/>
      <c r="X10" s="17"/>
      <c r="Y10" s="17"/>
      <c r="Z10" s="17"/>
    </row>
    <row r="11" spans="1:29" ht="13.75" thickBot="1">
      <c r="A11" s="263"/>
      <c r="C11" s="63"/>
      <c r="E11" s="254"/>
      <c r="F11" s="89"/>
      <c r="G11" s="361" t="s">
        <v>19</v>
      </c>
      <c r="H11" s="4">
        <f ca="1">$J$2</f>
        <v>1</v>
      </c>
      <c r="I11" s="271"/>
      <c r="J11" s="271"/>
      <c r="K11" s="271"/>
      <c r="L11" s="271"/>
      <c r="M11" s="271"/>
      <c r="N11" s="271"/>
      <c r="O11" s="271"/>
      <c r="P11" s="271"/>
      <c r="S11" s="254"/>
      <c r="T11" s="17"/>
      <c r="U11" s="17"/>
      <c r="V11" s="17"/>
      <c r="W11" s="17"/>
      <c r="X11" s="16"/>
      <c r="Y11" s="17"/>
      <c r="Z11" s="17"/>
      <c r="AA11" s="17"/>
      <c r="AB11" s="18"/>
    </row>
    <row r="12" spans="1:29" ht="18.45" thickTop="1" thickBot="1">
      <c r="A12" s="249"/>
      <c r="C12" s="63"/>
      <c r="E12" s="254"/>
      <c r="F12" s="108"/>
      <c r="G12" s="109" t="str">
        <f ca="1">IF(OR(TRIM(C4)="-",TRIM(C5)="-"), IF(TRIM(C4)="-",C4,C5),IF(AND(D4="",D5="")," ",IF(N(D5)&gt;N(D4),C4,C5)))</f>
        <v xml:space="preserve"> - </v>
      </c>
      <c r="H12" s="483"/>
      <c r="I12" s="273"/>
      <c r="J12" s="272"/>
      <c r="K12" s="266"/>
      <c r="L12" s="266"/>
      <c r="P12" s="271"/>
      <c r="Q12" s="271"/>
      <c r="R12" s="271"/>
      <c r="S12" s="274"/>
      <c r="T12" s="69"/>
      <c r="U12" s="17"/>
      <c r="V12" s="17"/>
      <c r="W12" s="17"/>
      <c r="X12" s="17"/>
      <c r="Y12" s="17"/>
      <c r="Z12" s="17"/>
    </row>
    <row r="13" spans="1:29" ht="18.45" thickTop="1" thickBot="1">
      <c r="A13" s="249"/>
      <c r="B13" s="275"/>
      <c r="C13" s="276"/>
      <c r="D13" s="276"/>
      <c r="E13" s="254"/>
      <c r="F13" s="110"/>
      <c r="G13" s="111" t="str">
        <f ca="1">IF(OR(TRIM(C8)="-",TRIM(C9)="-"), IF(TRIM(C8)="-",C8,C9),IF(AND(D8="",D9="")," ",IF(N(D9)&gt;N(D8),C8,C9)))</f>
        <v xml:space="preserve"> </v>
      </c>
      <c r="H13" s="484"/>
      <c r="I13" s="183"/>
      <c r="J13" s="39"/>
      <c r="K13" s="131" t="str">
        <f>IF(AND(H12="",H13="")," ",IF(N(H13)&gt;N(H12),G12,G13))</f>
        <v xml:space="preserve"> </v>
      </c>
      <c r="L13" s="130">
        <v>4</v>
      </c>
      <c r="M13" s="265"/>
      <c r="S13" s="254"/>
      <c r="T13" s="17"/>
      <c r="U13" s="17"/>
      <c r="V13" s="17"/>
      <c r="W13" s="17"/>
      <c r="X13" s="17"/>
      <c r="Y13" s="17"/>
      <c r="Z13" s="17"/>
    </row>
    <row r="14" spans="1:29">
      <c r="A14" s="249"/>
      <c r="F14" s="31"/>
      <c r="G14" s="37"/>
      <c r="H14" s="31"/>
      <c r="I14" s="31"/>
      <c r="J14" s="31"/>
      <c r="K14" s="31"/>
      <c r="L14" s="31"/>
      <c r="S14" s="254"/>
      <c r="T14" s="17"/>
      <c r="U14" s="17"/>
      <c r="V14" s="17"/>
      <c r="W14" s="17"/>
      <c r="X14" s="17"/>
      <c r="Y14" s="17"/>
      <c r="Z14" s="17"/>
    </row>
    <row r="15" spans="1:29">
      <c r="A15" s="263"/>
      <c r="S15" s="254"/>
      <c r="T15" s="17"/>
      <c r="U15" s="17"/>
      <c r="V15" s="17"/>
      <c r="W15" s="17"/>
      <c r="X15" s="17"/>
      <c r="Y15" s="17"/>
      <c r="Z15" s="17"/>
    </row>
    <row r="16" spans="1:29" ht="13.3">
      <c r="A16" s="263"/>
      <c r="D16" s="276"/>
      <c r="G16" s="258" t="s">
        <v>48</v>
      </c>
      <c r="P16" s="271"/>
      <c r="S16" s="254"/>
      <c r="T16" s="17"/>
      <c r="U16" s="17"/>
      <c r="V16" s="17"/>
      <c r="W16" s="17"/>
      <c r="X16" s="17"/>
      <c r="Y16" s="17"/>
      <c r="Z16" s="17"/>
    </row>
    <row r="17" spans="1:26" ht="13.75" thickBot="1">
      <c r="A17" s="276"/>
      <c r="G17" s="361" t="s">
        <v>19</v>
      </c>
      <c r="H17" s="4">
        <f ca="1">$H$2</f>
        <v>1</v>
      </c>
      <c r="I17" s="271"/>
      <c r="J17" s="271"/>
      <c r="K17" s="271"/>
      <c r="L17" s="271"/>
      <c r="S17" s="254"/>
      <c r="T17" s="17"/>
      <c r="U17" s="17"/>
      <c r="V17" s="17"/>
      <c r="W17" s="17"/>
      <c r="X17" s="17"/>
      <c r="Y17" s="17"/>
      <c r="Z17" s="17"/>
    </row>
    <row r="18" spans="1:26" ht="18.45" thickTop="1" thickBot="1">
      <c r="A18" s="276"/>
      <c r="F18" s="108"/>
      <c r="G18" s="109" t="str">
        <f>IF(AND(H6="",H7="")," ",IF(N(H7)&gt;N(H6),G6,G7))</f>
        <v xml:space="preserve"> </v>
      </c>
      <c r="H18" s="483"/>
      <c r="I18" s="3"/>
      <c r="J18" s="39"/>
      <c r="K18" s="131" t="str">
        <f>IF(AND(H18="",H19="")," ",IF(N(H18)&gt;N(H19),G18,G19))</f>
        <v xml:space="preserve"> </v>
      </c>
      <c r="L18" s="130">
        <v>2</v>
      </c>
      <c r="S18" s="254"/>
      <c r="T18" s="17"/>
      <c r="U18" s="17"/>
      <c r="V18" s="17"/>
      <c r="W18" s="17"/>
      <c r="X18" s="17"/>
      <c r="Y18" s="17"/>
      <c r="Z18" s="17"/>
    </row>
    <row r="19" spans="1:26" ht="18.45" thickTop="1" thickBot="1">
      <c r="A19" s="249"/>
      <c r="C19" s="63"/>
      <c r="F19" s="110"/>
      <c r="G19" s="111" t="str">
        <f>IF(AND(H12="",H13="")," ",IF(N(H12)&gt;N(H13),G12,G13))</f>
        <v xml:space="preserve"> </v>
      </c>
      <c r="H19" s="484"/>
      <c r="I19" s="3"/>
      <c r="J19" s="39"/>
      <c r="K19" s="131" t="str">
        <f>IF(AND(H18="",H19="")," ",IF(N(H19)&gt;N(H18),G18,G19))</f>
        <v xml:space="preserve"> </v>
      </c>
      <c r="L19" s="130">
        <v>3</v>
      </c>
      <c r="P19" s="271"/>
      <c r="Q19" s="271"/>
      <c r="R19" s="271"/>
      <c r="S19" s="274"/>
      <c r="T19" s="69"/>
      <c r="U19" s="17"/>
      <c r="V19" s="17"/>
      <c r="W19" s="17"/>
      <c r="X19" s="17"/>
      <c r="Y19" s="17"/>
      <c r="Z19" s="17"/>
    </row>
    <row r="20" spans="1:26" ht="13.3">
      <c r="A20" s="249"/>
      <c r="C20" s="63"/>
      <c r="G20" s="62"/>
      <c r="P20" s="271"/>
      <c r="Q20" s="271"/>
      <c r="R20" s="271"/>
      <c r="S20" s="274"/>
      <c r="T20" s="69"/>
      <c r="U20" s="17"/>
      <c r="V20" s="17"/>
      <c r="W20" s="17"/>
      <c r="X20" s="17"/>
      <c r="Y20" s="17"/>
      <c r="Z20" s="17"/>
    </row>
    <row r="21" spans="1:26" ht="13.3">
      <c r="A21" s="249"/>
      <c r="C21" s="63"/>
      <c r="P21" s="271"/>
      <c r="Q21" s="271"/>
      <c r="R21" s="271"/>
      <c r="S21" s="274"/>
      <c r="T21" s="69"/>
      <c r="U21" s="17"/>
      <c r="V21" s="17"/>
      <c r="W21" s="17"/>
      <c r="X21" s="17"/>
      <c r="Y21" s="17"/>
      <c r="Z21" s="17"/>
    </row>
    <row r="22" spans="1:26" ht="13.3">
      <c r="A22" s="249"/>
      <c r="C22" s="63"/>
      <c r="P22" s="271"/>
      <c r="Q22" s="271"/>
      <c r="R22" s="271"/>
      <c r="S22" s="274"/>
      <c r="T22" s="69"/>
      <c r="U22" s="17"/>
      <c r="V22" s="17"/>
      <c r="W22" s="17"/>
      <c r="X22" s="17"/>
      <c r="Y22" s="17"/>
      <c r="Z22" s="17"/>
    </row>
    <row r="23" spans="1:26" ht="13.3">
      <c r="A23" s="249"/>
      <c r="C23" s="63"/>
      <c r="G23" s="271"/>
      <c r="P23" s="271"/>
      <c r="Q23" s="271"/>
      <c r="R23" s="271"/>
      <c r="S23" s="274"/>
      <c r="T23" s="69"/>
      <c r="U23" s="17"/>
      <c r="V23" s="17"/>
      <c r="W23" s="17"/>
      <c r="X23" s="17"/>
      <c r="Y23" s="17"/>
      <c r="Z23" s="17"/>
    </row>
    <row r="24" spans="1:26" ht="13.3">
      <c r="A24" s="249"/>
      <c r="C24" s="63"/>
      <c r="G24" s="271"/>
      <c r="P24" s="271"/>
      <c r="Q24" s="271"/>
      <c r="R24" s="271"/>
      <c r="S24" s="274"/>
      <c r="T24" s="69"/>
      <c r="U24" s="17"/>
      <c r="V24" s="17"/>
      <c r="W24" s="17"/>
      <c r="X24" s="17"/>
      <c r="Y24" s="17"/>
      <c r="Z24" s="17"/>
    </row>
    <row r="25" spans="1:26" ht="13.3">
      <c r="A25" s="249"/>
      <c r="C25" s="63"/>
      <c r="G25" s="271"/>
      <c r="P25" s="271"/>
      <c r="Q25" s="271"/>
      <c r="R25" s="271"/>
      <c r="S25" s="274"/>
      <c r="T25" s="69"/>
      <c r="U25" s="17"/>
      <c r="V25" s="17"/>
      <c r="W25" s="17"/>
      <c r="X25" s="17"/>
      <c r="Y25" s="17"/>
      <c r="Z25" s="17"/>
    </row>
    <row r="26" spans="1:26" ht="13.3">
      <c r="A26" s="249"/>
      <c r="C26" s="63"/>
      <c r="G26" s="271"/>
      <c r="P26" s="271"/>
      <c r="Q26" s="271"/>
      <c r="R26" s="271"/>
      <c r="S26" s="274"/>
      <c r="T26" s="69"/>
      <c r="U26" s="17"/>
      <c r="V26" s="17"/>
      <c r="W26" s="17"/>
      <c r="X26" s="17"/>
      <c r="Y26" s="17"/>
      <c r="Z26" s="17"/>
    </row>
    <row r="27" spans="1:26" ht="13.3">
      <c r="A27" s="277"/>
      <c r="C27" s="63"/>
      <c r="G27" s="271"/>
      <c r="P27" s="271"/>
      <c r="Q27" s="271"/>
      <c r="R27" s="271"/>
      <c r="S27" s="274"/>
      <c r="T27" s="69"/>
      <c r="U27" s="17"/>
      <c r="V27" s="17"/>
      <c r="W27" s="17"/>
      <c r="X27" s="17"/>
      <c r="Y27" s="17"/>
      <c r="Z27" s="17"/>
    </row>
    <row r="28" spans="1:26" ht="13.3">
      <c r="A28" s="277"/>
      <c r="C28" s="63"/>
      <c r="G28" s="271"/>
      <c r="P28" s="271"/>
      <c r="Q28" s="271"/>
      <c r="R28" s="271"/>
      <c r="S28" s="274"/>
      <c r="T28" s="69"/>
      <c r="U28" s="17"/>
      <c r="V28" s="17"/>
      <c r="W28" s="17"/>
      <c r="X28" s="17"/>
      <c r="Y28" s="17"/>
      <c r="Z28" s="17"/>
    </row>
    <row r="29" spans="1:26" ht="13.3">
      <c r="A29" s="277"/>
      <c r="C29" s="63"/>
      <c r="G29" s="271"/>
      <c r="P29" s="271"/>
      <c r="Q29" s="271"/>
      <c r="R29" s="271"/>
      <c r="S29" s="274"/>
      <c r="T29" s="69"/>
      <c r="U29" s="17"/>
      <c r="V29" s="17"/>
      <c r="W29" s="17"/>
      <c r="X29" s="17"/>
      <c r="Y29" s="17"/>
      <c r="Z29" s="17"/>
    </row>
    <row r="30" spans="1:26" ht="13.3">
      <c r="A30" s="277"/>
      <c r="C30" s="63"/>
      <c r="G30" s="271"/>
      <c r="P30" s="271"/>
      <c r="Q30" s="271"/>
      <c r="R30" s="271"/>
      <c r="S30" s="274"/>
      <c r="T30" s="69"/>
      <c r="U30" s="17"/>
      <c r="V30" s="17"/>
      <c r="W30" s="17"/>
      <c r="X30" s="17"/>
      <c r="Y30" s="17"/>
      <c r="Z30" s="17"/>
    </row>
    <row r="31" spans="1:26" ht="13.3">
      <c r="A31" s="278"/>
      <c r="C31" s="63"/>
      <c r="D31" s="261"/>
      <c r="G31" s="271"/>
      <c r="P31" s="271"/>
      <c r="Q31" s="271"/>
      <c r="R31" s="271"/>
      <c r="S31" s="274"/>
      <c r="T31" s="69"/>
      <c r="U31" s="17"/>
      <c r="V31" s="17"/>
      <c r="W31" s="17"/>
      <c r="X31" s="17"/>
      <c r="Y31" s="17"/>
      <c r="Z31" s="17"/>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0">
    <tabColor theme="3" tint="-0.249977111117893"/>
  </sheetPr>
  <dimension ref="A1:K198"/>
  <sheetViews>
    <sheetView view="pageBreakPreview" zoomScale="75" zoomScaleNormal="75" zoomScaleSheetLayoutView="75" workbookViewId="0">
      <pane xSplit="4" ySplit="6" topLeftCell="E10" activePane="bottomRight" state="frozen"/>
      <selection pane="topRight" activeCell="E1" sqref="E1"/>
      <selection pane="bottomLeft" activeCell="A7" sqref="A7"/>
      <selection pane="bottomRight" activeCell="B12" sqref="B12"/>
    </sheetView>
  </sheetViews>
  <sheetFormatPr defaultColWidth="11.4140625" defaultRowHeight="12"/>
  <cols>
    <col min="1" max="1" width="9.58203125" style="2" customWidth="1"/>
    <col min="2" max="2" width="42.4140625" style="2" customWidth="1"/>
    <col min="3" max="3" width="6.58203125" style="4" customWidth="1"/>
    <col min="4" max="4" width="41.1640625" style="2" customWidth="1"/>
    <col min="5" max="6" width="5.58203125" style="2" customWidth="1"/>
    <col min="7" max="7" width="6.58203125" customWidth="1"/>
    <col min="8" max="8" width="87.4140625" customWidth="1"/>
    <col min="9" max="9" width="3" hidden="1" customWidth="1"/>
    <col min="10" max="10" width="3.58203125" hidden="1" customWidth="1"/>
    <col min="11" max="11" width="5.25" hidden="1" customWidth="1"/>
  </cols>
  <sheetData>
    <row r="1" spans="1:11" ht="26.5" customHeight="1" thickBot="1">
      <c r="B1" s="177" t="str">
        <f>Start.listina!$K$4</f>
        <v>MČR 3x3</v>
      </c>
      <c r="C1" s="117"/>
      <c r="D1" s="60"/>
      <c r="E1" s="118" t="str">
        <f>Start.listina!$K$3</f>
        <v>01.06.2024</v>
      </c>
      <c r="F1" s="61"/>
      <c r="G1" s="17"/>
      <c r="H1" s="17"/>
    </row>
    <row r="2" spans="1:11" ht="7.2" customHeight="1">
      <c r="A2" s="46"/>
      <c r="B2" s="51"/>
      <c r="C2" s="48"/>
      <c r="D2" s="46"/>
      <c r="E2" s="51"/>
      <c r="F2" s="46"/>
      <c r="G2" s="17"/>
      <c r="H2" s="17"/>
    </row>
    <row r="3" spans="1:11" ht="24" customHeight="1">
      <c r="A3" s="51"/>
      <c r="C3" s="59" t="s">
        <v>259</v>
      </c>
      <c r="D3" s="59"/>
      <c r="E3" s="59"/>
      <c r="F3" s="59"/>
      <c r="G3" s="59"/>
      <c r="H3" s="32"/>
    </row>
    <row r="4" spans="1:11" ht="6.65" customHeight="1">
      <c r="A4" s="58"/>
      <c r="B4" s="58"/>
      <c r="C4" s="58"/>
      <c r="D4" s="58"/>
      <c r="E4" s="58"/>
      <c r="F4" s="58"/>
      <c r="G4" s="17"/>
      <c r="H4" s="16"/>
    </row>
    <row r="5" spans="1:11" ht="8.5" customHeight="1">
      <c r="A5" s="47"/>
      <c r="B5" s="47"/>
      <c r="C5" s="48"/>
      <c r="D5" s="47"/>
      <c r="E5" s="47"/>
      <c r="F5" s="47"/>
      <c r="G5" s="17"/>
      <c r="H5" s="16"/>
    </row>
    <row r="6" spans="1:11" s="3" customFormat="1" ht="12" customHeight="1">
      <c r="A6" s="375"/>
      <c r="B6" s="376" t="s">
        <v>43</v>
      </c>
      <c r="C6" s="376" t="s">
        <v>44</v>
      </c>
      <c r="D6" s="376" t="s">
        <v>43</v>
      </c>
      <c r="E6" s="504" t="s">
        <v>45</v>
      </c>
      <c r="F6" s="504"/>
      <c r="G6" s="376" t="s">
        <v>19</v>
      </c>
      <c r="H6" s="49"/>
    </row>
    <row r="7" spans="1:11" ht="30" customHeight="1" thickBot="1">
      <c r="A7" s="52">
        <v>1</v>
      </c>
      <c r="B7" s="52"/>
      <c r="C7" s="57" t="s">
        <v>35</v>
      </c>
      <c r="D7" s="52"/>
      <c r="E7" s="52"/>
      <c r="F7" s="52"/>
      <c r="G7" s="52"/>
      <c r="H7" s="17"/>
    </row>
    <row r="8" spans="1:11" ht="18.45">
      <c r="A8" s="54" t="s">
        <v>114</v>
      </c>
      <c r="B8" s="41" t="str">
        <f ca="1">Sk.A!$B$8</f>
        <v>1 Carreau Brno - Michálek Tomáš</v>
      </c>
      <c r="C8" s="42" t="s">
        <v>117</v>
      </c>
      <c r="D8" s="41" t="str">
        <f ca="1">Sk.A!$E$8</f>
        <v xml:space="preserve"> - </v>
      </c>
      <c r="E8" s="159">
        <v>1</v>
      </c>
      <c r="F8" s="159">
        <v>0</v>
      </c>
      <c r="G8" s="363">
        <f ca="1">INDIRECT(ADDRESS(4,A7,1,1,"Hřiště"))</f>
        <v>1</v>
      </c>
      <c r="H8" s="16"/>
      <c r="I8">
        <v>1</v>
      </c>
      <c r="J8">
        <f>ROW()</f>
        <v>8</v>
      </c>
      <c r="K8">
        <f t="shared" ref="K8:K54" ca="1" si="0">IF(TRIM(D8)="-",1,IF(AND(E8="",F8=""),0,IF(N(E8)&gt;N(F8),1,2)))</f>
        <v>1</v>
      </c>
    </row>
    <row r="9" spans="1:11" ht="18.45">
      <c r="A9" s="55" t="s">
        <v>115</v>
      </c>
      <c r="B9" s="43" t="str">
        <f ca="1">Sk.A!$B$9</f>
        <v>32 Petank Club Praha - Maňák Jan</v>
      </c>
      <c r="C9" s="44" t="s">
        <v>117</v>
      </c>
      <c r="D9" s="43" t="str">
        <f ca="1">Sk.A!$E$9</f>
        <v>33 HRODE KRUMSÍN - Ptáčková Eliška</v>
      </c>
      <c r="E9" s="160">
        <v>13</v>
      </c>
      <c r="F9" s="160">
        <v>8</v>
      </c>
      <c r="G9" s="352">
        <f ca="1">INDIRECT(ADDRESS(5,A7,1,1,"Hřiště"))</f>
        <v>1</v>
      </c>
      <c r="H9" s="16"/>
      <c r="K9">
        <f t="shared" ca="1" si="0"/>
        <v>1</v>
      </c>
    </row>
    <row r="10" spans="1:11" ht="18.45">
      <c r="A10" s="55" t="s">
        <v>46</v>
      </c>
      <c r="B10" s="43" t="str">
        <f ca="1">Sk.A!$B$10</f>
        <v>1 Carreau Brno - Michálek Tomáš</v>
      </c>
      <c r="C10" s="44" t="s">
        <v>117</v>
      </c>
      <c r="D10" s="43" t="str">
        <f ca="1">Sk.A!$E$10</f>
        <v>32 Petank Club Praha - Maňák Jan</v>
      </c>
      <c r="E10" s="160">
        <v>13</v>
      </c>
      <c r="F10" s="160">
        <v>1</v>
      </c>
      <c r="G10" s="352">
        <f ca="1">INDIRECT(ADDRESS(4,A7,1,1,"Hřiště"))</f>
        <v>1</v>
      </c>
      <c r="H10" s="16"/>
      <c r="K10">
        <f ca="1">IF(TRIM(D10)="-",1,IF(AND(E10="",F10=""),0,IF(N(E10)&gt;N(F10),1,2)))</f>
        <v>1</v>
      </c>
    </row>
    <row r="11" spans="1:11" ht="18.45">
      <c r="A11" s="55" t="s">
        <v>47</v>
      </c>
      <c r="B11" s="43" t="str">
        <f ca="1">Sk.A!$B$11</f>
        <v xml:space="preserve"> - </v>
      </c>
      <c r="C11" s="44" t="s">
        <v>117</v>
      </c>
      <c r="D11" s="43" t="str">
        <f ca="1">Sk.A!$E$11</f>
        <v>33 HRODE KRUMSÍN - Ptáčková Eliška</v>
      </c>
      <c r="E11" s="160">
        <v>0</v>
      </c>
      <c r="F11" s="160">
        <v>1</v>
      </c>
      <c r="G11" s="352">
        <f ca="1">INDIRECT(ADDRESS(5,A7,1,1,"Hřiště"))</f>
        <v>1</v>
      </c>
      <c r="H11" s="16"/>
      <c r="K11">
        <f t="shared" ca="1" si="0"/>
        <v>2</v>
      </c>
    </row>
    <row r="12" spans="1:11" ht="18.899999999999999" thickBot="1">
      <c r="A12" s="56" t="s">
        <v>48</v>
      </c>
      <c r="B12" s="45" t="str">
        <f ca="1">Sk.A!$B$12</f>
        <v>32 Petank Club Praha - Maňák Jan</v>
      </c>
      <c r="C12" s="44" t="s">
        <v>117</v>
      </c>
      <c r="D12" s="45" t="str">
        <f ca="1">Sk.A!$E$12</f>
        <v>33 HRODE KRUMSÍN - Ptáčková Eliška</v>
      </c>
      <c r="E12" s="161">
        <v>4</v>
      </c>
      <c r="F12" s="161">
        <v>13</v>
      </c>
      <c r="G12" s="353">
        <f ca="1">INDIRECT(ADDRESS(4,A7,1,1,"Hřiště"))</f>
        <v>1</v>
      </c>
      <c r="H12" s="16"/>
      <c r="K12">
        <f t="shared" ca="1" si="0"/>
        <v>2</v>
      </c>
    </row>
    <row r="13" spans="1:11" ht="30" customHeight="1" thickBot="1">
      <c r="A13" s="52">
        <v>2</v>
      </c>
      <c r="B13" s="52"/>
      <c r="C13" s="57" t="s">
        <v>36</v>
      </c>
      <c r="D13" s="52"/>
      <c r="E13" s="245"/>
      <c r="F13" s="245"/>
      <c r="G13" s="53"/>
      <c r="H13" s="17"/>
    </row>
    <row r="14" spans="1:11" ht="18.45">
      <c r="A14" s="54" t="s">
        <v>114</v>
      </c>
      <c r="B14" s="41" t="str">
        <f ca="1">Sk.B!$B$8</f>
        <v>2 PC Sokol Lipník - Froňková Kateřina</v>
      </c>
      <c r="C14" s="42" t="s">
        <v>117</v>
      </c>
      <c r="D14" s="41" t="str">
        <f ca="1">Sk.B!$E$8</f>
        <v xml:space="preserve"> - </v>
      </c>
      <c r="E14" s="159">
        <v>1</v>
      </c>
      <c r="F14" s="159">
        <v>0</v>
      </c>
      <c r="G14" s="363">
        <f ca="1">INDIRECT(ADDRESS(4,A13,1,1,"Hřiště"))</f>
        <v>2</v>
      </c>
      <c r="H14" s="16"/>
      <c r="I14">
        <v>2</v>
      </c>
      <c r="J14">
        <f>ROW()</f>
        <v>14</v>
      </c>
      <c r="K14">
        <f t="shared" ca="1" si="0"/>
        <v>1</v>
      </c>
    </row>
    <row r="15" spans="1:11" ht="18.45">
      <c r="A15" s="55" t="s">
        <v>115</v>
      </c>
      <c r="B15" s="43" t="str">
        <f ca="1">Sk.B!$B$9</f>
        <v>31 PC Mimo Done - Šídlová Lucie</v>
      </c>
      <c r="C15" s="44" t="s">
        <v>117</v>
      </c>
      <c r="D15" s="43" t="str">
        <f ca="1">Sk.B!$E$9</f>
        <v>34 CdP Loděnice - Jirkovský Tomáš</v>
      </c>
      <c r="E15" s="160">
        <v>12</v>
      </c>
      <c r="F15" s="160">
        <v>13</v>
      </c>
      <c r="G15" s="352">
        <f ca="1">INDIRECT(ADDRESS(5,A13,1,1,"Hřiště"))</f>
        <v>2</v>
      </c>
      <c r="H15" s="16"/>
      <c r="K15">
        <f t="shared" ca="1" si="0"/>
        <v>2</v>
      </c>
    </row>
    <row r="16" spans="1:11" ht="18.45">
      <c r="A16" s="55" t="s">
        <v>46</v>
      </c>
      <c r="B16" s="43" t="str">
        <f ca="1">Sk.B!$B$10</f>
        <v>2 PC Sokol Lipník - Froňková Kateřina</v>
      </c>
      <c r="C16" s="44" t="s">
        <v>117</v>
      </c>
      <c r="D16" s="43" t="str">
        <f ca="1">Sk.B!$E$10</f>
        <v>34 CdP Loděnice - Jirkovský Tomáš</v>
      </c>
      <c r="E16" s="160">
        <v>13</v>
      </c>
      <c r="F16" s="160">
        <v>6</v>
      </c>
      <c r="G16" s="352">
        <f ca="1">INDIRECT(ADDRESS(4,A13,1,1,"Hřiště"))</f>
        <v>2</v>
      </c>
      <c r="H16" s="16"/>
      <c r="K16">
        <f ca="1">IF(TRIM(D16)="-",1,IF(AND(E16="",F16=""),0,IF(N(E16)&gt;N(F16),1,2)))</f>
        <v>1</v>
      </c>
    </row>
    <row r="17" spans="1:11" ht="18.45">
      <c r="A17" s="55" t="s">
        <v>47</v>
      </c>
      <c r="B17" s="43" t="str">
        <f ca="1">Sk.B!$B$11</f>
        <v xml:space="preserve"> - </v>
      </c>
      <c r="C17" s="44" t="s">
        <v>117</v>
      </c>
      <c r="D17" s="43" t="str">
        <f ca="1">Sk.B!$E$11</f>
        <v>31 PC Mimo Done - Šídlová Lucie</v>
      </c>
      <c r="E17" s="160">
        <v>0</v>
      </c>
      <c r="F17" s="160">
        <v>1</v>
      </c>
      <c r="G17" s="352">
        <f ca="1">INDIRECT(ADDRESS(5,A13,1,1,"Hřiště"))</f>
        <v>2</v>
      </c>
      <c r="H17" s="16"/>
      <c r="K17">
        <f t="shared" ca="1" si="0"/>
        <v>2</v>
      </c>
    </row>
    <row r="18" spans="1:11" ht="18.899999999999999" thickBot="1">
      <c r="A18" s="56" t="s">
        <v>48</v>
      </c>
      <c r="B18" s="45" t="str">
        <f ca="1">Sk.B!$B$12</f>
        <v>34 CdP Loděnice - Jirkovský Tomáš</v>
      </c>
      <c r="C18" s="44" t="s">
        <v>117</v>
      </c>
      <c r="D18" s="45" t="str">
        <f ca="1">Sk.B!$E$12</f>
        <v>31 PC Mimo Done - Šídlová Lucie</v>
      </c>
      <c r="E18" s="161">
        <v>9</v>
      </c>
      <c r="F18" s="161">
        <v>13</v>
      </c>
      <c r="G18" s="353">
        <f ca="1">INDIRECT(ADDRESS(4,A13,1,1,"Hřiště"))</f>
        <v>2</v>
      </c>
      <c r="H18" s="16"/>
      <c r="K18">
        <f t="shared" ca="1" si="0"/>
        <v>2</v>
      </c>
    </row>
    <row r="19" spans="1:11" ht="30" customHeight="1" thickBot="1">
      <c r="A19" s="52">
        <v>3</v>
      </c>
      <c r="B19" s="52"/>
      <c r="C19" s="57" t="s">
        <v>37</v>
      </c>
      <c r="D19" s="52"/>
      <c r="E19" s="245"/>
      <c r="F19" s="245"/>
      <c r="G19" s="53"/>
      <c r="H19" s="17"/>
    </row>
    <row r="20" spans="1:11" ht="18.45">
      <c r="A20" s="54" t="s">
        <v>114</v>
      </c>
      <c r="B20" s="41" t="str">
        <f ca="1">Sk.C!$B$8</f>
        <v>3 PC Sokol Lipník - Konšel Jakub</v>
      </c>
      <c r="C20" s="42" t="s">
        <v>117</v>
      </c>
      <c r="D20" s="41" t="str">
        <f ca="1">Sk.C!$E$8</f>
        <v xml:space="preserve"> - </v>
      </c>
      <c r="E20" s="159">
        <v>1</v>
      </c>
      <c r="F20" s="159">
        <v>0</v>
      </c>
      <c r="G20" s="363">
        <f ca="1">INDIRECT(ADDRESS(4,A19,1,1,"Hřiště"))</f>
        <v>3</v>
      </c>
      <c r="H20" s="16"/>
      <c r="I20">
        <v>3</v>
      </c>
      <c r="J20">
        <f>ROW()</f>
        <v>20</v>
      </c>
      <c r="K20">
        <f t="shared" ca="1" si="0"/>
        <v>1</v>
      </c>
    </row>
    <row r="21" spans="1:11" ht="18.45">
      <c r="A21" s="55" t="s">
        <v>115</v>
      </c>
      <c r="B21" s="43" t="str">
        <f ca="1">Sk.C!$B$9</f>
        <v>30 SKP Kulová osma - Krejčín Leoš</v>
      </c>
      <c r="C21" s="44" t="s">
        <v>117</v>
      </c>
      <c r="D21" s="43" t="str">
        <f ca="1">Sk.C!$E$9</f>
        <v>35 PKT Velký Šanc - Horálek Jiří</v>
      </c>
      <c r="E21" s="160">
        <v>13</v>
      </c>
      <c r="F21" s="160">
        <v>9</v>
      </c>
      <c r="G21" s="352">
        <f ca="1">INDIRECT(ADDRESS(5,A19,1,1,"Hřiště"))</f>
        <v>3</v>
      </c>
      <c r="H21" s="16"/>
      <c r="K21">
        <f t="shared" ca="1" si="0"/>
        <v>1</v>
      </c>
    </row>
    <row r="22" spans="1:11" ht="18.45">
      <c r="A22" s="55" t="s">
        <v>46</v>
      </c>
      <c r="B22" s="43" t="str">
        <f ca="1">Sk.C!$B$10</f>
        <v>3 PC Sokol Lipník - Konšel Jakub</v>
      </c>
      <c r="C22" s="44" t="s">
        <v>117</v>
      </c>
      <c r="D22" s="43" t="str">
        <f ca="1">Sk.C!$E$10</f>
        <v>30 SKP Kulová osma - Krejčín Leoš</v>
      </c>
      <c r="E22" s="160">
        <v>13</v>
      </c>
      <c r="F22" s="160">
        <v>9</v>
      </c>
      <c r="G22" s="352">
        <f ca="1">INDIRECT(ADDRESS(4,A19,1,1,"Hřiště"))</f>
        <v>3</v>
      </c>
      <c r="H22" s="16"/>
      <c r="K22">
        <f t="shared" ca="1" si="0"/>
        <v>1</v>
      </c>
    </row>
    <row r="23" spans="1:11" ht="18.45">
      <c r="A23" s="55" t="s">
        <v>47</v>
      </c>
      <c r="B23" s="43" t="str">
        <f ca="1">Sk.C!$B$11</f>
        <v xml:space="preserve"> - </v>
      </c>
      <c r="C23" s="44" t="s">
        <v>117</v>
      </c>
      <c r="D23" s="43" t="str">
        <f ca="1">Sk.C!$E$11</f>
        <v>35 PKT Velký Šanc - Horálek Jiří</v>
      </c>
      <c r="E23" s="160">
        <v>0</v>
      </c>
      <c r="F23" s="160">
        <v>1</v>
      </c>
      <c r="G23" s="352">
        <f ca="1">INDIRECT(ADDRESS(5,A19,1,1,"Hřiště"))</f>
        <v>3</v>
      </c>
      <c r="H23" s="16"/>
      <c r="K23">
        <f t="shared" ca="1" si="0"/>
        <v>2</v>
      </c>
    </row>
    <row r="24" spans="1:11" ht="18.899999999999999" thickBot="1">
      <c r="A24" s="56" t="s">
        <v>48</v>
      </c>
      <c r="B24" s="45" t="str">
        <f ca="1">Sk.C!$B$12</f>
        <v>30 SKP Kulová osma - Krejčín Leoš</v>
      </c>
      <c r="C24" s="44" t="s">
        <v>117</v>
      </c>
      <c r="D24" s="45" t="str">
        <f ca="1">Sk.C!$E$12</f>
        <v>35 PKT Velký Šanc - Horálek Jiří</v>
      </c>
      <c r="E24" s="161">
        <v>7</v>
      </c>
      <c r="F24" s="161">
        <v>13</v>
      </c>
      <c r="G24" s="353">
        <f ca="1">INDIRECT(ADDRESS(4,A19,1,1,"Hřiště"))</f>
        <v>3</v>
      </c>
      <c r="H24" s="16"/>
      <c r="K24">
        <f t="shared" ca="1" si="0"/>
        <v>2</v>
      </c>
    </row>
    <row r="25" spans="1:11" ht="30" customHeight="1" thickBot="1">
      <c r="A25" s="52">
        <v>4</v>
      </c>
      <c r="B25" s="52"/>
      <c r="C25" s="57" t="s">
        <v>38</v>
      </c>
      <c r="D25" s="52"/>
      <c r="E25" s="245"/>
      <c r="F25" s="245"/>
      <c r="G25" s="53"/>
      <c r="H25" s="17"/>
    </row>
    <row r="26" spans="1:11" ht="18.45">
      <c r="A26" s="54" t="s">
        <v>114</v>
      </c>
      <c r="B26" s="41" t="str">
        <f ca="1">Sk.D!$B$8</f>
        <v>4 CdP Loděnice - Resl Jan</v>
      </c>
      <c r="C26" s="42" t="s">
        <v>117</v>
      </c>
      <c r="D26" s="41" t="str">
        <f ca="1">Sk.D!$E$8</f>
        <v xml:space="preserve"> - </v>
      </c>
      <c r="E26" s="159">
        <v>1</v>
      </c>
      <c r="F26" s="159">
        <v>0</v>
      </c>
      <c r="G26" s="363">
        <f ca="1">INDIRECT(ADDRESS(4,A25,1,1,"Hřiště"))</f>
        <v>4</v>
      </c>
      <c r="H26" s="16"/>
      <c r="I26">
        <v>4</v>
      </c>
      <c r="J26">
        <f>ROW()</f>
        <v>26</v>
      </c>
      <c r="K26">
        <f t="shared" ca="1" si="0"/>
        <v>1</v>
      </c>
    </row>
    <row r="27" spans="1:11" ht="18.45">
      <c r="A27" s="55" t="s">
        <v>115</v>
      </c>
      <c r="B27" s="43" t="str">
        <f ca="1">Sk.D!$B$9</f>
        <v>29 Carreau Brno - Grepl Jiří</v>
      </c>
      <c r="C27" s="44" t="s">
        <v>117</v>
      </c>
      <c r="D27" s="43" t="str">
        <f ca="1">Sk.D!$E$9</f>
        <v>36 HRODE KRUMSÍN - Rolínek Michal</v>
      </c>
      <c r="E27" s="160">
        <v>13</v>
      </c>
      <c r="F27" s="160">
        <v>2</v>
      </c>
      <c r="G27" s="352">
        <f ca="1">INDIRECT(ADDRESS(5,A25,1,1,"Hřiště"))</f>
        <v>4</v>
      </c>
      <c r="H27" s="16"/>
      <c r="K27">
        <f t="shared" ca="1" si="0"/>
        <v>1</v>
      </c>
    </row>
    <row r="28" spans="1:11" ht="18.45">
      <c r="A28" s="55" t="s">
        <v>46</v>
      </c>
      <c r="B28" s="43" t="str">
        <f ca="1">Sk.D!$B$10</f>
        <v>4 CdP Loděnice - Resl Jan</v>
      </c>
      <c r="C28" s="44" t="s">
        <v>117</v>
      </c>
      <c r="D28" s="43" t="str">
        <f ca="1">Sk.D!$E$10</f>
        <v>29 Carreau Brno - Grepl Jiří</v>
      </c>
      <c r="E28" s="160">
        <v>13</v>
      </c>
      <c r="F28" s="160">
        <v>6</v>
      </c>
      <c r="G28" s="352">
        <f ca="1">INDIRECT(ADDRESS(4,A25,1,1,"Hřiště"))</f>
        <v>4</v>
      </c>
      <c r="H28" s="16"/>
      <c r="K28">
        <f t="shared" ca="1" si="0"/>
        <v>1</v>
      </c>
    </row>
    <row r="29" spans="1:11" ht="18.45">
      <c r="A29" s="55" t="s">
        <v>47</v>
      </c>
      <c r="B29" s="43" t="str">
        <f ca="1">Sk.D!$B$11</f>
        <v xml:space="preserve"> - </v>
      </c>
      <c r="C29" s="44" t="s">
        <v>117</v>
      </c>
      <c r="D29" s="43" t="str">
        <f ca="1">Sk.D!$E$11</f>
        <v>36 HRODE KRUMSÍN - Rolínek Michal</v>
      </c>
      <c r="E29" s="160">
        <v>0</v>
      </c>
      <c r="F29" s="160">
        <v>1</v>
      </c>
      <c r="G29" s="352">
        <f ca="1">INDIRECT(ADDRESS(5,A25,1,1,"Hřiště"))</f>
        <v>4</v>
      </c>
      <c r="H29" s="16"/>
      <c r="K29">
        <f t="shared" ca="1" si="0"/>
        <v>2</v>
      </c>
    </row>
    <row r="30" spans="1:11" ht="18.899999999999999" thickBot="1">
      <c r="A30" s="56" t="s">
        <v>48</v>
      </c>
      <c r="B30" s="45" t="str">
        <f ca="1">Sk.D!$B$12</f>
        <v>29 Carreau Brno - Grepl Jiří</v>
      </c>
      <c r="C30" s="44" t="s">
        <v>117</v>
      </c>
      <c r="D30" s="45" t="str">
        <f ca="1">Sk.D!$E$12</f>
        <v>36 HRODE KRUMSÍN - Rolínek Michal</v>
      </c>
      <c r="E30" s="161">
        <v>13</v>
      </c>
      <c r="F30" s="161">
        <v>4</v>
      </c>
      <c r="G30" s="353">
        <f ca="1">INDIRECT(ADDRESS(4,A25,1,1,"Hřiště"))</f>
        <v>4</v>
      </c>
      <c r="H30" s="16"/>
      <c r="K30">
        <f t="shared" ca="1" si="0"/>
        <v>1</v>
      </c>
    </row>
    <row r="31" spans="1:11" ht="30" customHeight="1" thickBot="1">
      <c r="A31" s="52">
        <v>5</v>
      </c>
      <c r="B31" s="52"/>
      <c r="C31" s="57" t="s">
        <v>39</v>
      </c>
      <c r="D31" s="52"/>
      <c r="E31" s="245"/>
      <c r="F31" s="245"/>
      <c r="G31" s="53"/>
      <c r="H31" s="17"/>
    </row>
    <row r="32" spans="1:11" ht="18.45">
      <c r="A32" s="54" t="s">
        <v>114</v>
      </c>
      <c r="B32" s="41" t="str">
        <f ca="1">Sk.E!$B$8</f>
        <v>5 TOP - ORLOVÁ - Bačo David</v>
      </c>
      <c r="C32" s="42" t="s">
        <v>117</v>
      </c>
      <c r="D32" s="41" t="str">
        <f ca="1">Sk.E!$E$8</f>
        <v xml:space="preserve"> - </v>
      </c>
      <c r="E32" s="159">
        <v>1</v>
      </c>
      <c r="F32" s="159">
        <v>0</v>
      </c>
      <c r="G32" s="363">
        <f ca="1">INDIRECT(ADDRESS(4,A31,1,1,"Hřiště"))</f>
        <v>5</v>
      </c>
      <c r="H32" s="16"/>
      <c r="I32">
        <v>5</v>
      </c>
      <c r="J32">
        <f>ROW()</f>
        <v>32</v>
      </c>
      <c r="K32">
        <f t="shared" ca="1" si="0"/>
        <v>1</v>
      </c>
    </row>
    <row r="33" spans="1:11" ht="18.45">
      <c r="A33" s="55" t="s">
        <v>115</v>
      </c>
      <c r="B33" s="43" t="str">
        <f ca="1">Sk.E!$B$9</f>
        <v>28 Petank Club Praha - Kašparová Barbora</v>
      </c>
      <c r="C33" s="44" t="s">
        <v>117</v>
      </c>
      <c r="D33" s="43" t="str">
        <f ca="1">Sk.E!$E$9</f>
        <v>37 PC Sokol Lipník - Šplechtová Dana</v>
      </c>
      <c r="E33" s="160">
        <v>4</v>
      </c>
      <c r="F33" s="160">
        <v>13</v>
      </c>
      <c r="G33" s="352">
        <f ca="1">INDIRECT(ADDRESS(5,A31,1,1,"Hřiště"))</f>
        <v>5</v>
      </c>
      <c r="H33" s="16"/>
      <c r="K33">
        <f t="shared" ca="1" si="0"/>
        <v>2</v>
      </c>
    </row>
    <row r="34" spans="1:11" ht="18.45">
      <c r="A34" s="55" t="s">
        <v>46</v>
      </c>
      <c r="B34" s="43" t="str">
        <f ca="1">Sk.E!$B$10</f>
        <v>5 TOP - ORLOVÁ - Bačo David</v>
      </c>
      <c r="C34" s="44" t="s">
        <v>117</v>
      </c>
      <c r="D34" s="43" t="str">
        <f ca="1">Sk.E!$E$10</f>
        <v>37 PC Sokol Lipník - Šplechtová Dana</v>
      </c>
      <c r="E34" s="160">
        <v>13</v>
      </c>
      <c r="F34" s="160">
        <v>9</v>
      </c>
      <c r="G34" s="352">
        <f ca="1">INDIRECT(ADDRESS(4,A31,1,1,"Hřiště"))</f>
        <v>5</v>
      </c>
      <c r="H34" s="16"/>
      <c r="K34">
        <f t="shared" ca="1" si="0"/>
        <v>1</v>
      </c>
    </row>
    <row r="35" spans="1:11" ht="18.45">
      <c r="A35" s="55" t="s">
        <v>47</v>
      </c>
      <c r="B35" s="43" t="str">
        <f ca="1">Sk.E!$B$11</f>
        <v xml:space="preserve"> - </v>
      </c>
      <c r="C35" s="44" t="s">
        <v>117</v>
      </c>
      <c r="D35" s="43" t="str">
        <f ca="1">Sk.E!$E$11</f>
        <v>28 Petank Club Praha - Kašparová Barbora</v>
      </c>
      <c r="E35" s="160">
        <v>0</v>
      </c>
      <c r="F35" s="160">
        <v>1</v>
      </c>
      <c r="G35" s="352">
        <f ca="1">INDIRECT(ADDRESS(5,A31,1,1,"Hřiště"))</f>
        <v>5</v>
      </c>
      <c r="H35" s="16"/>
      <c r="K35">
        <f t="shared" ca="1" si="0"/>
        <v>2</v>
      </c>
    </row>
    <row r="36" spans="1:11" ht="18.899999999999999" thickBot="1">
      <c r="A36" s="56" t="s">
        <v>48</v>
      </c>
      <c r="B36" s="45" t="str">
        <f ca="1">Sk.E!$B$12</f>
        <v>37 PC Sokol Lipník - Šplechtová Dana</v>
      </c>
      <c r="C36" s="44" t="s">
        <v>117</v>
      </c>
      <c r="D36" s="45" t="str">
        <f ca="1">Sk.E!$E$12</f>
        <v>28 Petank Club Praha - Kašparová Barbora</v>
      </c>
      <c r="E36" s="161">
        <v>13</v>
      </c>
      <c r="F36" s="161">
        <v>10</v>
      </c>
      <c r="G36" s="353">
        <f ca="1">INDIRECT(ADDRESS(4,A31,1,1,"Hřiště"))</f>
        <v>5</v>
      </c>
      <c r="H36" s="16"/>
      <c r="K36">
        <f t="shared" ca="1" si="0"/>
        <v>1</v>
      </c>
    </row>
    <row r="37" spans="1:11" ht="30" customHeight="1" thickBot="1">
      <c r="A37" s="52">
        <v>6</v>
      </c>
      <c r="B37" s="52"/>
      <c r="C37" s="57" t="s">
        <v>40</v>
      </c>
      <c r="D37" s="52"/>
      <c r="E37" s="245"/>
      <c r="F37" s="245"/>
      <c r="G37" s="53"/>
      <c r="H37" s="17"/>
    </row>
    <row r="38" spans="1:11" ht="18.45">
      <c r="A38" s="54" t="s">
        <v>114</v>
      </c>
      <c r="B38" s="41" t="str">
        <f ca="1">Sk.F!$B$8</f>
        <v>6 CdP Loděnice - Dlouhá Ivana</v>
      </c>
      <c r="C38" s="42" t="s">
        <v>117</v>
      </c>
      <c r="D38" s="41" t="str">
        <f ca="1">Sk.F!$E$8</f>
        <v>59 PSK Jihlava - Půža Jan</v>
      </c>
      <c r="E38" s="159">
        <v>13</v>
      </c>
      <c r="F38" s="159">
        <v>5</v>
      </c>
      <c r="G38" s="363">
        <f ca="1">INDIRECT(ADDRESS(4,A37,1,1,"Hřiště"))</f>
        <v>6</v>
      </c>
      <c r="H38" s="16"/>
      <c r="I38">
        <v>6</v>
      </c>
      <c r="J38">
        <f>ROW()</f>
        <v>38</v>
      </c>
      <c r="K38">
        <f t="shared" ca="1" si="0"/>
        <v>1</v>
      </c>
    </row>
    <row r="39" spans="1:11" ht="18.45">
      <c r="A39" s="55" t="s">
        <v>115</v>
      </c>
      <c r="B39" s="43" t="str">
        <f ca="1">Sk.F!$B$9</f>
        <v>27 1. KPK Vrchlabí - Kapeš Roman</v>
      </c>
      <c r="C39" s="44" t="s">
        <v>117</v>
      </c>
      <c r="D39" s="43" t="str">
        <f ca="1">Sk.F!$E$9</f>
        <v>38 UBU Únětice - Křížek Evžen</v>
      </c>
      <c r="E39" s="160">
        <v>13</v>
      </c>
      <c r="F39" s="160">
        <v>6</v>
      </c>
      <c r="G39" s="352">
        <f ca="1">INDIRECT(ADDRESS(5,A37,1,1,"Hřiště"))</f>
        <v>7</v>
      </c>
      <c r="H39" s="16"/>
      <c r="K39">
        <f t="shared" ca="1" si="0"/>
        <v>1</v>
      </c>
    </row>
    <row r="40" spans="1:11" ht="18.45">
      <c r="A40" s="55" t="s">
        <v>46</v>
      </c>
      <c r="B40" s="43" t="str">
        <f ca="1">Sk.F!$B$10</f>
        <v>6 CdP Loděnice - Dlouhá Ivana</v>
      </c>
      <c r="C40" s="44" t="s">
        <v>117</v>
      </c>
      <c r="D40" s="43" t="str">
        <f ca="1">Sk.F!$E$10</f>
        <v>27 1. KPK Vrchlabí - Kapeš Roman</v>
      </c>
      <c r="E40" s="160">
        <v>13</v>
      </c>
      <c r="F40" s="160">
        <v>12</v>
      </c>
      <c r="G40" s="352">
        <f ca="1">INDIRECT(ADDRESS(4,A37,1,1,"Hřiště"))</f>
        <v>6</v>
      </c>
      <c r="H40" s="16"/>
      <c r="K40">
        <f t="shared" ca="1" si="0"/>
        <v>1</v>
      </c>
    </row>
    <row r="41" spans="1:11" ht="18.45">
      <c r="A41" s="55" t="s">
        <v>47</v>
      </c>
      <c r="B41" s="43" t="str">
        <f ca="1">Sk.F!$B$11</f>
        <v>59 PSK Jihlava - Půža Jan</v>
      </c>
      <c r="C41" s="44" t="s">
        <v>117</v>
      </c>
      <c r="D41" s="43" t="str">
        <f ca="1">Sk.F!$E$11</f>
        <v>38 UBU Únětice - Křížek Evžen</v>
      </c>
      <c r="E41" s="160">
        <v>13</v>
      </c>
      <c r="F41" s="160">
        <v>6</v>
      </c>
      <c r="G41" s="352">
        <f ca="1">INDIRECT(ADDRESS(5,A37,1,1,"Hřiště"))</f>
        <v>7</v>
      </c>
      <c r="H41" s="16"/>
      <c r="K41">
        <f t="shared" ca="1" si="0"/>
        <v>1</v>
      </c>
    </row>
    <row r="42" spans="1:11" ht="18.899999999999999" thickBot="1">
      <c r="A42" s="56" t="s">
        <v>48</v>
      </c>
      <c r="B42" s="45" t="str">
        <f ca="1">Sk.F!$B$12</f>
        <v>27 1. KPK Vrchlabí - Kapeš Roman</v>
      </c>
      <c r="C42" s="44" t="s">
        <v>117</v>
      </c>
      <c r="D42" s="45" t="str">
        <f ca="1">Sk.F!$E$12</f>
        <v>59 PSK Jihlava - Půža Jan</v>
      </c>
      <c r="E42" s="161">
        <v>13</v>
      </c>
      <c r="F42" s="161">
        <v>10</v>
      </c>
      <c r="G42" s="353">
        <f ca="1">INDIRECT(ADDRESS(4,A37,1,1,"Hřiště"))</f>
        <v>6</v>
      </c>
      <c r="H42" s="16"/>
      <c r="K42">
        <f t="shared" ca="1" si="0"/>
        <v>1</v>
      </c>
    </row>
    <row r="43" spans="1:11" ht="30" customHeight="1" thickBot="1">
      <c r="A43" s="52">
        <v>7</v>
      </c>
      <c r="B43" s="52"/>
      <c r="C43" s="57" t="s">
        <v>41</v>
      </c>
      <c r="D43" s="52"/>
      <c r="E43" s="245"/>
      <c r="F43" s="245"/>
      <c r="G43" s="53"/>
      <c r="H43" s="17"/>
    </row>
    <row r="44" spans="1:11" ht="18.45">
      <c r="A44" s="54" t="s">
        <v>114</v>
      </c>
      <c r="B44" s="41" t="str">
        <f ca="1">Sk.G!$B$8</f>
        <v>7 HRODE KRUMSÍN - Motl Bohuslav</v>
      </c>
      <c r="C44" s="42" t="s">
        <v>117</v>
      </c>
      <c r="D44" s="41" t="str">
        <f ca="1">Sk.G!$E$8</f>
        <v>58 PSK Jihlava - Žáková Naděžda</v>
      </c>
      <c r="E44" s="159">
        <v>13</v>
      </c>
      <c r="F44" s="159">
        <v>2</v>
      </c>
      <c r="G44" s="363">
        <f ca="1">INDIRECT(ADDRESS(4,A43,1,1,"Hřiště"))</f>
        <v>8</v>
      </c>
      <c r="H44" s="16"/>
      <c r="I44">
        <v>7</v>
      </c>
      <c r="J44">
        <f>ROW()</f>
        <v>44</v>
      </c>
      <c r="K44">
        <f t="shared" ca="1" si="0"/>
        <v>1</v>
      </c>
    </row>
    <row r="45" spans="1:11" ht="18.45">
      <c r="A45" s="55" t="s">
        <v>115</v>
      </c>
      <c r="B45" s="43" t="str">
        <f ca="1">Sk.G!$B$9</f>
        <v>26 HAVAJ CB - Koreš st. Jiří</v>
      </c>
      <c r="C45" s="44" t="s">
        <v>117</v>
      </c>
      <c r="D45" s="43" t="str">
        <f ca="1">Sk.G!$E$9</f>
        <v>39 Orel Řečkovice - Mareček Pavel</v>
      </c>
      <c r="E45" s="160">
        <v>13</v>
      </c>
      <c r="F45" s="160">
        <v>9</v>
      </c>
      <c r="G45" s="352">
        <f ca="1">INDIRECT(ADDRESS(5,A43,1,1,"Hřiště"))</f>
        <v>9</v>
      </c>
      <c r="H45" s="16"/>
      <c r="K45">
        <f t="shared" ca="1" si="0"/>
        <v>1</v>
      </c>
    </row>
    <row r="46" spans="1:11" ht="18.45">
      <c r="A46" s="55" t="s">
        <v>46</v>
      </c>
      <c r="B46" s="43" t="str">
        <f ca="1">Sk.G!$B$10</f>
        <v>7 HRODE KRUMSÍN - Motl Bohuslav</v>
      </c>
      <c r="C46" s="44" t="s">
        <v>117</v>
      </c>
      <c r="D46" s="43" t="str">
        <f ca="1">Sk.G!$E$10</f>
        <v>26 HAVAJ CB - Koreš st. Jiří</v>
      </c>
      <c r="E46" s="160">
        <v>2</v>
      </c>
      <c r="F46" s="160">
        <v>13</v>
      </c>
      <c r="G46" s="352">
        <f ca="1">INDIRECT(ADDRESS(4,A43,1,1,"Hřiště"))</f>
        <v>8</v>
      </c>
      <c r="H46" s="16"/>
      <c r="K46">
        <f t="shared" ca="1" si="0"/>
        <v>2</v>
      </c>
    </row>
    <row r="47" spans="1:11" ht="18.45">
      <c r="A47" s="55" t="s">
        <v>47</v>
      </c>
      <c r="B47" s="43" t="str">
        <f ca="1">Sk.G!$B$11</f>
        <v>58 PSK Jihlava - Žáková Naděžda</v>
      </c>
      <c r="C47" s="44" t="s">
        <v>117</v>
      </c>
      <c r="D47" s="43" t="str">
        <f ca="1">Sk.G!$E$11</f>
        <v>39 Orel Řečkovice - Mareček Pavel</v>
      </c>
      <c r="E47" s="160">
        <v>5</v>
      </c>
      <c r="F47" s="160">
        <v>13</v>
      </c>
      <c r="G47" s="352">
        <f ca="1">INDIRECT(ADDRESS(5,A43,1,1,"Hřiště"))</f>
        <v>9</v>
      </c>
      <c r="H47" s="16"/>
      <c r="K47">
        <f t="shared" ca="1" si="0"/>
        <v>2</v>
      </c>
    </row>
    <row r="48" spans="1:11" ht="18.899999999999999" thickBot="1">
      <c r="A48" s="56" t="s">
        <v>48</v>
      </c>
      <c r="B48" s="45" t="str">
        <f ca="1">Sk.G!$B$12</f>
        <v>7 HRODE KRUMSÍN - Motl Bohuslav</v>
      </c>
      <c r="C48" s="44" t="s">
        <v>117</v>
      </c>
      <c r="D48" s="45" t="str">
        <f ca="1">Sk.G!$E$12</f>
        <v>39 Orel Řečkovice - Mareček Pavel</v>
      </c>
      <c r="E48" s="161">
        <v>13</v>
      </c>
      <c r="F48" s="161">
        <v>4</v>
      </c>
      <c r="G48" s="353">
        <f ca="1">INDIRECT(ADDRESS(4,A43,1,1,"Hřiště"))</f>
        <v>8</v>
      </c>
      <c r="H48" s="16"/>
      <c r="K48">
        <f t="shared" ca="1" si="0"/>
        <v>1</v>
      </c>
    </row>
    <row r="49" spans="1:11" ht="30" customHeight="1" thickBot="1">
      <c r="A49" s="52">
        <v>8</v>
      </c>
      <c r="B49" s="52"/>
      <c r="C49" s="57" t="s">
        <v>42</v>
      </c>
      <c r="D49" s="52"/>
      <c r="E49" s="245"/>
      <c r="F49" s="245"/>
      <c r="G49" s="53"/>
      <c r="H49" s="17"/>
    </row>
    <row r="50" spans="1:11" ht="18.45">
      <c r="A50" s="54" t="s">
        <v>114</v>
      </c>
      <c r="B50" s="41" t="str">
        <f ca="1">Sk.H!$B$8</f>
        <v>8 1. KPK Vrchlabí - Vedral Filip</v>
      </c>
      <c r="C50" s="42" t="s">
        <v>117</v>
      </c>
      <c r="D50" s="41" t="str">
        <f ca="1">Sk.H!$E$8</f>
        <v>57 PSK Jihlava - Krupicová Natálie</v>
      </c>
      <c r="E50" s="159">
        <v>13</v>
      </c>
      <c r="F50" s="159">
        <v>9</v>
      </c>
      <c r="G50" s="363">
        <f ca="1">INDIRECT(ADDRESS(4,A49,1,1,"Hřiště"))</f>
        <v>10</v>
      </c>
      <c r="H50" s="16"/>
      <c r="I50">
        <v>8</v>
      </c>
      <c r="J50">
        <f>ROW()</f>
        <v>50</v>
      </c>
      <c r="K50">
        <f t="shared" ca="1" si="0"/>
        <v>1</v>
      </c>
    </row>
    <row r="51" spans="1:11" ht="18.45">
      <c r="A51" s="55" t="s">
        <v>115</v>
      </c>
      <c r="B51" s="43" t="str">
        <f ca="1">Sk.H!$B$9</f>
        <v>25 1. Starobrněnský PK - Strouhalová Terezie</v>
      </c>
      <c r="C51" s="44" t="s">
        <v>117</v>
      </c>
      <c r="D51" s="43" t="str">
        <f ca="1">Sk.H!$E$9</f>
        <v>40 PC Mimo Done - Šíma Jaroslav</v>
      </c>
      <c r="E51" s="160">
        <v>3</v>
      </c>
      <c r="F51" s="160">
        <v>13</v>
      </c>
      <c r="G51" s="352">
        <f ca="1">INDIRECT(ADDRESS(5,A49,1,1,"Hřiště"))</f>
        <v>11</v>
      </c>
      <c r="H51" s="16"/>
      <c r="K51">
        <f t="shared" ca="1" si="0"/>
        <v>2</v>
      </c>
    </row>
    <row r="52" spans="1:11" ht="18.45">
      <c r="A52" s="55" t="s">
        <v>46</v>
      </c>
      <c r="B52" s="43" t="str">
        <f ca="1">Sk.H!$B$10</f>
        <v>8 1. KPK Vrchlabí - Vedral Filip</v>
      </c>
      <c r="C52" s="44" t="s">
        <v>117</v>
      </c>
      <c r="D52" s="43" t="str">
        <f ca="1">Sk.H!$E$10</f>
        <v>40 PC Mimo Done - Šíma Jaroslav</v>
      </c>
      <c r="E52" s="160">
        <v>13</v>
      </c>
      <c r="F52" s="160">
        <v>5</v>
      </c>
      <c r="G52" s="352">
        <f ca="1">INDIRECT(ADDRESS(4,A49,1,1,"Hřiště"))</f>
        <v>10</v>
      </c>
      <c r="H52" s="16"/>
      <c r="K52">
        <f t="shared" ca="1" si="0"/>
        <v>1</v>
      </c>
    </row>
    <row r="53" spans="1:11" ht="18.45">
      <c r="A53" s="55" t="s">
        <v>47</v>
      </c>
      <c r="B53" s="43" t="str">
        <f ca="1">Sk.H!$B$11</f>
        <v>57 PSK Jihlava - Krupicová Natálie</v>
      </c>
      <c r="C53" s="44" t="s">
        <v>117</v>
      </c>
      <c r="D53" s="43" t="str">
        <f ca="1">Sk.H!$E$11</f>
        <v>25 1. Starobrněnský PK - Strouhalová Terezie</v>
      </c>
      <c r="E53" s="160">
        <v>6</v>
      </c>
      <c r="F53" s="160">
        <v>13</v>
      </c>
      <c r="G53" s="352">
        <f ca="1">INDIRECT(ADDRESS(5,A49,1,1,"Hřiště"))</f>
        <v>11</v>
      </c>
      <c r="H53" s="16"/>
      <c r="K53">
        <f t="shared" ca="1" si="0"/>
        <v>2</v>
      </c>
    </row>
    <row r="54" spans="1:11" ht="18.899999999999999" thickBot="1">
      <c r="A54" s="56" t="s">
        <v>48</v>
      </c>
      <c r="B54" s="45" t="str">
        <f ca="1">Sk.H!$B$12</f>
        <v>40 PC Mimo Done - Šíma Jaroslav</v>
      </c>
      <c r="C54" s="44" t="s">
        <v>117</v>
      </c>
      <c r="D54" s="45" t="str">
        <f ca="1">Sk.H!$E$12</f>
        <v>25 1. Starobrněnský PK - Strouhalová Terezie</v>
      </c>
      <c r="E54" s="161">
        <v>13</v>
      </c>
      <c r="F54" s="161">
        <v>5</v>
      </c>
      <c r="G54" s="353">
        <f ca="1">INDIRECT(ADDRESS(4,A49,1,1,"Hřiště"))</f>
        <v>10</v>
      </c>
      <c r="H54" s="16"/>
      <c r="K54">
        <f t="shared" ca="1" si="0"/>
        <v>1</v>
      </c>
    </row>
    <row r="55" spans="1:11" ht="21.45" thickBot="1">
      <c r="A55" s="52">
        <v>9</v>
      </c>
      <c r="B55" s="52"/>
      <c r="C55" s="57" t="s">
        <v>264</v>
      </c>
      <c r="D55" s="52"/>
      <c r="E55" s="245"/>
      <c r="F55" s="245"/>
      <c r="G55" s="53"/>
      <c r="H55" s="16"/>
    </row>
    <row r="56" spans="1:11" ht="18.45">
      <c r="A56" s="54" t="s">
        <v>114</v>
      </c>
      <c r="B56" s="41" t="str">
        <f ca="1">Sk.I!$B$8</f>
        <v>9 Carreau Brno - Dudašková Michaela</v>
      </c>
      <c r="C56" s="42" t="s">
        <v>117</v>
      </c>
      <c r="D56" s="41" t="str">
        <f ca="1">Sk.I!$E$8</f>
        <v>56 PSK Jihlava - Dyba Daniel</v>
      </c>
      <c r="E56" s="159">
        <v>13</v>
      </c>
      <c r="F56" s="159">
        <v>10</v>
      </c>
      <c r="G56" s="363">
        <f ca="1">INDIRECT(ADDRESS(4,A55,1,1,"Hřiště"))</f>
        <v>12</v>
      </c>
      <c r="H56" s="16"/>
      <c r="I56">
        <v>9</v>
      </c>
      <c r="J56">
        <f>ROW()</f>
        <v>56</v>
      </c>
      <c r="K56">
        <f ca="1">IF(TRIM(D56)="-",1,IF(AND(E56="",F56=""),0,IF(N(E56)&gt;N(F56),1,2)))</f>
        <v>1</v>
      </c>
    </row>
    <row r="57" spans="1:11" ht="18.45">
      <c r="A57" s="55" t="s">
        <v>115</v>
      </c>
      <c r="B57" s="43" t="str">
        <f ca="1">Sk.I!$B$9</f>
        <v>24 SPORT Kolín - Šternberg Martin</v>
      </c>
      <c r="C57" s="44" t="s">
        <v>117</v>
      </c>
      <c r="D57" s="43" t="str">
        <f ca="1">Sk.I!$E$9</f>
        <v>41 PC Sokol PP Hr. Králové - Melgr Jan</v>
      </c>
      <c r="E57" s="160">
        <v>8</v>
      </c>
      <c r="F57" s="160">
        <v>13</v>
      </c>
      <c r="G57" s="352">
        <f ca="1">INDIRECT(ADDRESS(5,A55,1,1,"Hřiště"))</f>
        <v>13</v>
      </c>
      <c r="H57" s="16"/>
      <c r="K57">
        <f ca="1">IF(TRIM(D57)="-",1,IF(AND(E57="",F57=""),0,IF(N(E57)&gt;N(F57),1,2)))</f>
        <v>2</v>
      </c>
    </row>
    <row r="58" spans="1:11" ht="18.45">
      <c r="A58" s="55" t="s">
        <v>46</v>
      </c>
      <c r="B58" s="43" t="str">
        <f ca="1">Sk.I!$B$10</f>
        <v>9 Carreau Brno - Dudašková Michaela</v>
      </c>
      <c r="C58" s="44" t="s">
        <v>117</v>
      </c>
      <c r="D58" s="43" t="str">
        <f ca="1">Sk.I!$E$10</f>
        <v>41 PC Sokol PP Hr. Králové - Melgr Jan</v>
      </c>
      <c r="E58" s="160">
        <v>8</v>
      </c>
      <c r="F58" s="160">
        <v>13</v>
      </c>
      <c r="G58" s="352">
        <f ca="1">INDIRECT(ADDRESS(4,A55,1,1,"Hřiště"))</f>
        <v>12</v>
      </c>
      <c r="H58" s="16"/>
      <c r="K58">
        <f ca="1">IF(TRIM(D58)="-",1,IF(AND(E58="",F58=""),0,IF(N(E58)&gt;N(F58),1,2)))</f>
        <v>2</v>
      </c>
    </row>
    <row r="59" spans="1:11" ht="18.45">
      <c r="A59" s="55" t="s">
        <v>47</v>
      </c>
      <c r="B59" s="43" t="str">
        <f ca="1">Sk.I!$B$11</f>
        <v>56 PSK Jihlava - Dyba Daniel</v>
      </c>
      <c r="C59" s="44" t="s">
        <v>117</v>
      </c>
      <c r="D59" s="43" t="str">
        <f ca="1">Sk.I!$E$11</f>
        <v>24 SPORT Kolín - Šternberg Martin</v>
      </c>
      <c r="E59" s="160">
        <v>3</v>
      </c>
      <c r="F59" s="160">
        <v>13</v>
      </c>
      <c r="G59" s="352">
        <f ca="1">INDIRECT(ADDRESS(5,A55,1,1,"Hřiště"))</f>
        <v>13</v>
      </c>
      <c r="H59" s="16"/>
      <c r="K59">
        <f ca="1">IF(TRIM(D59)="-",1,IF(AND(E59="",F59=""),0,IF(N(E59)&gt;N(F59),1,2)))</f>
        <v>2</v>
      </c>
    </row>
    <row r="60" spans="1:11" ht="18.899999999999999" thickBot="1">
      <c r="A60" s="56" t="s">
        <v>48</v>
      </c>
      <c r="B60" s="45" t="str">
        <f ca="1">Sk.I!$B$12</f>
        <v>9 Carreau Brno - Dudašková Michaela</v>
      </c>
      <c r="C60" s="44" t="s">
        <v>117</v>
      </c>
      <c r="D60" s="45" t="str">
        <f ca="1">Sk.I!$E$12</f>
        <v>24 SPORT Kolín - Šternberg Martin</v>
      </c>
      <c r="E60" s="161">
        <v>12</v>
      </c>
      <c r="F60" s="161">
        <v>13</v>
      </c>
      <c r="G60" s="353">
        <f ca="1">INDIRECT(ADDRESS(4,A55,1,1,"Hřiště"))</f>
        <v>12</v>
      </c>
      <c r="K60">
        <f ca="1">IF(TRIM(D60)="-",1,IF(AND(E60="",F60=""),0,IF(N(E60)&gt;N(F60),1,2)))</f>
        <v>2</v>
      </c>
    </row>
    <row r="61" spans="1:11" ht="21.45" thickBot="1">
      <c r="A61" s="52">
        <v>10</v>
      </c>
      <c r="B61" s="52"/>
      <c r="C61" s="57" t="s">
        <v>265</v>
      </c>
      <c r="D61" s="52"/>
      <c r="E61" s="245"/>
      <c r="F61" s="245"/>
      <c r="G61" s="53"/>
      <c r="H61" s="16"/>
    </row>
    <row r="62" spans="1:11" ht="18.45">
      <c r="A62" s="54" t="s">
        <v>114</v>
      </c>
      <c r="B62" s="41" t="str">
        <f ca="1">Sk.J!$B$8</f>
        <v>10 SKP Hranice VI-Valšovice - Kutá Miloslava</v>
      </c>
      <c r="C62" s="42" t="s">
        <v>117</v>
      </c>
      <c r="D62" s="41" t="str">
        <f ca="1">Sk.J!$E$8</f>
        <v>55 BePeC 2016 - Horák Libor</v>
      </c>
      <c r="E62" s="159">
        <v>13</v>
      </c>
      <c r="F62" s="159">
        <v>1</v>
      </c>
      <c r="G62" s="363">
        <f ca="1">INDIRECT(ADDRESS(4,A61,1,1,"Hřiště"))</f>
        <v>14</v>
      </c>
      <c r="H62" s="16"/>
      <c r="I62">
        <v>10</v>
      </c>
      <c r="J62">
        <f>ROW()</f>
        <v>62</v>
      </c>
      <c r="K62">
        <f ca="1">IF(TRIM(D62)="-",1,IF(AND(E62="",F62=""),0,IF(N(E62)&gt;N(F62),1,2)))</f>
        <v>1</v>
      </c>
    </row>
    <row r="63" spans="1:11" ht="18.45">
      <c r="A63" s="55" t="s">
        <v>115</v>
      </c>
      <c r="B63" s="43" t="str">
        <f ca="1">Sk.J!$B$9</f>
        <v>23 PLUK Jablonec - Lukáš Petr</v>
      </c>
      <c r="C63" s="44" t="s">
        <v>117</v>
      </c>
      <c r="D63" s="43" t="str">
        <f ca="1">Sk.J!$E$9</f>
        <v>42 SK Sahara Vědomice - Piller Tomáš</v>
      </c>
      <c r="E63" s="160">
        <v>13</v>
      </c>
      <c r="F63" s="160">
        <v>0</v>
      </c>
      <c r="G63" s="352">
        <f ca="1">INDIRECT(ADDRESS(5,A61,1,1,"Hřiště"))</f>
        <v>15</v>
      </c>
      <c r="H63" s="16"/>
      <c r="K63">
        <f ca="1">IF(TRIM(D63)="-",1,IF(AND(E63="",F63=""),0,IF(N(E63)&gt;N(F63),1,2)))</f>
        <v>1</v>
      </c>
    </row>
    <row r="64" spans="1:11" ht="18.45">
      <c r="A64" s="55" t="s">
        <v>46</v>
      </c>
      <c r="B64" s="43" t="str">
        <f ca="1">Sk.J!$B$10</f>
        <v>10 SKP Hranice VI-Valšovice - Kutá Miloslava</v>
      </c>
      <c r="C64" s="44" t="s">
        <v>117</v>
      </c>
      <c r="D64" s="43" t="str">
        <f ca="1">Sk.J!$E$10</f>
        <v>23 PLUK Jablonec - Lukáš Petr</v>
      </c>
      <c r="E64" s="160">
        <v>9</v>
      </c>
      <c r="F64" s="160">
        <v>13</v>
      </c>
      <c r="G64" s="352">
        <f ca="1">INDIRECT(ADDRESS(4,A61,1,1,"Hřiště"))</f>
        <v>14</v>
      </c>
      <c r="H64" s="16"/>
      <c r="K64">
        <f ca="1">IF(TRIM(D64)="-",1,IF(AND(E64="",F64=""),0,IF(N(E64)&gt;N(F64),1,2)))</f>
        <v>2</v>
      </c>
    </row>
    <row r="65" spans="1:11" ht="18.45">
      <c r="A65" s="55" t="s">
        <v>47</v>
      </c>
      <c r="B65" s="43" t="str">
        <f ca="1">Sk.J!$B$11</f>
        <v>55 BePeC 2016 - Horák Libor</v>
      </c>
      <c r="C65" s="44" t="s">
        <v>117</v>
      </c>
      <c r="D65" s="43" t="str">
        <f ca="1">Sk.J!$E$11</f>
        <v>42 SK Sahara Vědomice - Piller Tomáš</v>
      </c>
      <c r="E65" s="160">
        <v>1</v>
      </c>
      <c r="F65" s="160">
        <v>13</v>
      </c>
      <c r="G65" s="352">
        <f ca="1">INDIRECT(ADDRESS(5,A61,1,1,"Hřiště"))</f>
        <v>15</v>
      </c>
      <c r="H65" s="16"/>
      <c r="K65">
        <f ca="1">IF(TRIM(D65)="-",1,IF(AND(E65="",F65=""),0,IF(N(E65)&gt;N(F65),1,2)))</f>
        <v>2</v>
      </c>
    </row>
    <row r="66" spans="1:11" ht="18.899999999999999" thickBot="1">
      <c r="A66" s="56" t="s">
        <v>48</v>
      </c>
      <c r="B66" s="45" t="str">
        <f ca="1">Sk.J!$B$12</f>
        <v>10 SKP Hranice VI-Valšovice - Kutá Miloslava</v>
      </c>
      <c r="C66" s="44" t="s">
        <v>117</v>
      </c>
      <c r="D66" s="45" t="str">
        <f ca="1">Sk.J!$E$12</f>
        <v>42 SK Sahara Vědomice - Piller Tomáš</v>
      </c>
      <c r="E66" s="161">
        <v>2</v>
      </c>
      <c r="F66" s="161">
        <v>13</v>
      </c>
      <c r="G66" s="353">
        <f ca="1">INDIRECT(ADDRESS(4,A61,1,1,"Hřiště"))</f>
        <v>14</v>
      </c>
      <c r="K66">
        <f ca="1">IF(TRIM(D66)="-",1,IF(AND(E66="",F66=""),0,IF(N(E66)&gt;N(F66),1,2)))</f>
        <v>2</v>
      </c>
    </row>
    <row r="67" spans="1:11" ht="21.45" thickBot="1">
      <c r="A67" s="52">
        <v>11</v>
      </c>
      <c r="B67" s="52"/>
      <c r="C67" s="57" t="s">
        <v>266</v>
      </c>
      <c r="D67" s="52"/>
      <c r="E67" s="245"/>
      <c r="F67" s="245"/>
      <c r="G67" s="53"/>
      <c r="H67" s="16"/>
    </row>
    <row r="68" spans="1:11" ht="18.45">
      <c r="A68" s="54" t="s">
        <v>114</v>
      </c>
      <c r="B68" s="41" t="str">
        <f ca="1">Sk.K!$B$8</f>
        <v>11 PC Damníkov - Brandes Michael</v>
      </c>
      <c r="C68" s="42" t="s">
        <v>117</v>
      </c>
      <c r="D68" s="41" t="str">
        <f ca="1">Sk.K!$E$8</f>
        <v>54 PO Chotěboř - Holenda Milan</v>
      </c>
      <c r="E68" s="159">
        <v>13</v>
      </c>
      <c r="F68" s="159">
        <v>5</v>
      </c>
      <c r="G68" s="363">
        <f ca="1">INDIRECT(ADDRESS(4,A67,1,1,"Hřiště"))</f>
        <v>16</v>
      </c>
      <c r="H68" s="16"/>
      <c r="I68">
        <v>11</v>
      </c>
      <c r="J68">
        <f>ROW()</f>
        <v>68</v>
      </c>
      <c r="K68">
        <f ca="1">IF(TRIM(D68)="-",1,IF(AND(E68="",F68=""),0,IF(N(E68)&gt;N(F68),1,2)))</f>
        <v>1</v>
      </c>
    </row>
    <row r="69" spans="1:11" ht="18.45">
      <c r="A69" s="55" t="s">
        <v>115</v>
      </c>
      <c r="B69" s="43" t="str">
        <f ca="1">Sk.K!$B$9</f>
        <v>22 SK Sahara Vědomice - Sekerešová Jindřiška</v>
      </c>
      <c r="C69" s="44" t="s">
        <v>117</v>
      </c>
      <c r="D69" s="43" t="str">
        <f ca="1">Sk.K!$E$9</f>
        <v>43 SK Pétanque Řepy - Vodehnalová Jindra</v>
      </c>
      <c r="E69" s="160">
        <v>13</v>
      </c>
      <c r="F69" s="160">
        <v>7</v>
      </c>
      <c r="G69" s="352">
        <f ca="1">INDIRECT(ADDRESS(5,A67,1,1,"Hřiště"))</f>
        <v>17</v>
      </c>
      <c r="H69" s="16"/>
      <c r="K69">
        <f ca="1">IF(TRIM(D69)="-",1,IF(AND(E69="",F69=""),0,IF(N(E69)&gt;N(F69),1,2)))</f>
        <v>1</v>
      </c>
    </row>
    <row r="70" spans="1:11" ht="18.45">
      <c r="A70" s="55" t="s">
        <v>46</v>
      </c>
      <c r="B70" s="43" t="str">
        <f ca="1">Sk.K!$B$10</f>
        <v>11 PC Damníkov - Brandes Michael</v>
      </c>
      <c r="C70" s="44" t="s">
        <v>117</v>
      </c>
      <c r="D70" s="43" t="str">
        <f ca="1">Sk.K!$E$10</f>
        <v>22 SK Sahara Vědomice - Sekerešová Jindřiška</v>
      </c>
      <c r="E70" s="160">
        <v>13</v>
      </c>
      <c r="F70" s="160">
        <v>8</v>
      </c>
      <c r="G70" s="352">
        <f ca="1">INDIRECT(ADDRESS(4,A67,1,1,"Hřiště"))</f>
        <v>16</v>
      </c>
      <c r="H70" s="16"/>
      <c r="K70">
        <f ca="1">IF(TRIM(D70)="-",1,IF(AND(E70="",F70=""),0,IF(N(E70)&gt;N(F70),1,2)))</f>
        <v>1</v>
      </c>
    </row>
    <row r="71" spans="1:11" ht="18.45">
      <c r="A71" s="55" t="s">
        <v>47</v>
      </c>
      <c r="B71" s="43" t="str">
        <f ca="1">Sk.K!$B$11</f>
        <v>54 PO Chotěboř - Holenda Milan</v>
      </c>
      <c r="C71" s="44" t="s">
        <v>117</v>
      </c>
      <c r="D71" s="43" t="str">
        <f ca="1">Sk.K!$E$11</f>
        <v>43 SK Pétanque Řepy - Vodehnalová Jindra</v>
      </c>
      <c r="E71" s="160">
        <v>13</v>
      </c>
      <c r="F71" s="160">
        <v>7</v>
      </c>
      <c r="G71" s="352">
        <f ca="1">INDIRECT(ADDRESS(5,A67,1,1,"Hřiště"))</f>
        <v>17</v>
      </c>
      <c r="H71" s="16"/>
      <c r="K71">
        <f ca="1">IF(TRIM(D71)="-",1,IF(AND(E71="",F71=""),0,IF(N(E71)&gt;N(F71),1,2)))</f>
        <v>1</v>
      </c>
    </row>
    <row r="72" spans="1:11" ht="18.899999999999999" thickBot="1">
      <c r="A72" s="56" t="s">
        <v>48</v>
      </c>
      <c r="B72" s="45" t="str">
        <f ca="1">Sk.K!$B$12</f>
        <v>22 SK Sahara Vědomice - Sekerešová Jindřiška</v>
      </c>
      <c r="C72" s="44" t="s">
        <v>117</v>
      </c>
      <c r="D72" s="45" t="str">
        <f ca="1">Sk.K!$E$12</f>
        <v>54 PO Chotěboř - Holenda Milan</v>
      </c>
      <c r="E72" s="161">
        <v>13</v>
      </c>
      <c r="F72" s="161">
        <v>12</v>
      </c>
      <c r="G72" s="353">
        <f ca="1">INDIRECT(ADDRESS(4,A67,1,1,"Hřiště"))</f>
        <v>16</v>
      </c>
      <c r="K72">
        <f ca="1">IF(TRIM(D72)="-",1,IF(AND(E72="",F72=""),0,IF(N(E72)&gt;N(F72),1,2)))</f>
        <v>1</v>
      </c>
    </row>
    <row r="73" spans="1:11" ht="21.45" thickBot="1">
      <c r="A73" s="52">
        <v>12</v>
      </c>
      <c r="B73" s="52"/>
      <c r="C73" s="57" t="s">
        <v>267</v>
      </c>
      <c r="D73" s="52"/>
      <c r="E73" s="245"/>
      <c r="F73" s="245"/>
      <c r="G73" s="53"/>
      <c r="H73" s="16"/>
    </row>
    <row r="74" spans="1:11" ht="18.45">
      <c r="A74" s="54" t="s">
        <v>114</v>
      </c>
      <c r="B74" s="41" t="str">
        <f ca="1">Sk.L!$B$8</f>
        <v>12 Orel Řečkovice - Hanák Pavel</v>
      </c>
      <c r="C74" s="42" t="s">
        <v>117</v>
      </c>
      <c r="D74" s="41" t="str">
        <f ca="1">Sk.L!$E$8</f>
        <v>53 PC Sokol Velim - Sudoměřický Tomáš</v>
      </c>
      <c r="E74" s="159">
        <v>13</v>
      </c>
      <c r="F74" s="159">
        <v>0</v>
      </c>
      <c r="G74" s="363">
        <f ca="1">INDIRECT(ADDRESS(4,A73,1,1,"Hřiště"))</f>
        <v>18</v>
      </c>
      <c r="H74" s="16"/>
      <c r="I74">
        <v>12</v>
      </c>
      <c r="J74">
        <f>ROW()</f>
        <v>74</v>
      </c>
      <c r="K74">
        <f ca="1">IF(TRIM(D74)="-",1,IF(AND(E74="",F74=""),0,IF(N(E74)&gt;N(F74),1,2)))</f>
        <v>1</v>
      </c>
    </row>
    <row r="75" spans="1:11" ht="18.45">
      <c r="A75" s="55" t="s">
        <v>115</v>
      </c>
      <c r="B75" s="43" t="str">
        <f ca="1">Sk.L!$B$9</f>
        <v>21 Carreau Brno - Ferlay Franck</v>
      </c>
      <c r="C75" s="44" t="s">
        <v>117</v>
      </c>
      <c r="D75" s="43" t="str">
        <f ca="1">Sk.L!$E$9</f>
        <v>44 SKP Kulová osma - Chmelař Ivo</v>
      </c>
      <c r="E75" s="160">
        <v>1</v>
      </c>
      <c r="F75" s="160">
        <v>0</v>
      </c>
      <c r="G75" s="352">
        <f ca="1">INDIRECT(ADDRESS(5,A73,1,1,"Hřiště"))</f>
        <v>19</v>
      </c>
      <c r="H75" s="16"/>
      <c r="K75">
        <f ca="1">IF(TRIM(D75)="-",1,IF(AND(E75="",F75=""),0,IF(N(E75)&gt;N(F75),1,2)))</f>
        <v>1</v>
      </c>
    </row>
    <row r="76" spans="1:11" ht="18.45">
      <c r="A76" s="55" t="s">
        <v>46</v>
      </c>
      <c r="B76" s="43" t="str">
        <f ca="1">Sk.L!$B$10</f>
        <v>12 Orel Řečkovice - Hanák Pavel</v>
      </c>
      <c r="C76" s="44" t="s">
        <v>117</v>
      </c>
      <c r="D76" s="43" t="str">
        <f ca="1">Sk.L!$E$10</f>
        <v>21 Carreau Brno - Ferlay Franck</v>
      </c>
      <c r="E76" s="160">
        <v>13</v>
      </c>
      <c r="F76" s="160">
        <v>3</v>
      </c>
      <c r="G76" s="352">
        <f ca="1">INDIRECT(ADDRESS(4,A73,1,1,"Hřiště"))</f>
        <v>18</v>
      </c>
      <c r="H76" s="16"/>
      <c r="K76">
        <f ca="1">IF(TRIM(D76)="-",1,IF(AND(E76="",F76=""),0,IF(N(E76)&gt;N(F76),1,2)))</f>
        <v>1</v>
      </c>
    </row>
    <row r="77" spans="1:11" ht="18.45">
      <c r="A77" s="55" t="s">
        <v>47</v>
      </c>
      <c r="B77" s="43" t="str">
        <f ca="1">Sk.L!$B$11</f>
        <v>53 PC Sokol Velim - Sudoměřický Tomáš</v>
      </c>
      <c r="C77" s="44" t="s">
        <v>117</v>
      </c>
      <c r="D77" s="43" t="str">
        <f ca="1">Sk.L!$E$11</f>
        <v>44 SKP Kulová osma - Chmelař Ivo</v>
      </c>
      <c r="E77" s="160">
        <v>13</v>
      </c>
      <c r="F77" s="160">
        <v>9</v>
      </c>
      <c r="G77" s="352">
        <f ca="1">INDIRECT(ADDRESS(5,A73,1,1,"Hřiště"))</f>
        <v>19</v>
      </c>
      <c r="H77" s="16"/>
      <c r="K77">
        <f ca="1">IF(TRIM(D77)="-",1,IF(AND(E77="",F77=""),0,IF(N(E77)&gt;N(F77),1,2)))</f>
        <v>1</v>
      </c>
    </row>
    <row r="78" spans="1:11" ht="18.899999999999999" thickBot="1">
      <c r="A78" s="56" t="s">
        <v>48</v>
      </c>
      <c r="B78" s="45" t="str">
        <f ca="1">Sk.L!$B$12</f>
        <v>21 Carreau Brno - Ferlay Franck</v>
      </c>
      <c r="C78" s="44" t="s">
        <v>117</v>
      </c>
      <c r="D78" s="45" t="str">
        <f ca="1">Sk.L!$E$12</f>
        <v>53 PC Sokol Velim - Sudoměřický Tomáš</v>
      </c>
      <c r="E78" s="161">
        <v>1</v>
      </c>
      <c r="F78" s="161">
        <v>0</v>
      </c>
      <c r="G78" s="353">
        <f ca="1">INDIRECT(ADDRESS(4,A73,1,1,"Hřiště"))</f>
        <v>18</v>
      </c>
      <c r="K78">
        <f ca="1">IF(TRIM(D78)="-",1,IF(AND(E78="",F78=""),0,IF(N(E78)&gt;N(F78),1,2)))</f>
        <v>1</v>
      </c>
    </row>
    <row r="79" spans="1:11" ht="21.45" thickBot="1">
      <c r="A79" s="52">
        <v>13</v>
      </c>
      <c r="B79" s="52"/>
      <c r="C79" s="57" t="s">
        <v>268</v>
      </c>
      <c r="D79" s="52"/>
      <c r="E79" s="245"/>
      <c r="F79" s="245"/>
      <c r="G79" s="53"/>
      <c r="H79" s="16"/>
    </row>
    <row r="80" spans="1:11" ht="18.45">
      <c r="A80" s="54" t="s">
        <v>114</v>
      </c>
      <c r="B80" s="41" t="str">
        <f ca="1">Sk.M!$B$8</f>
        <v>13 PK Polouvsí - Valošek Radim</v>
      </c>
      <c r="C80" s="42" t="s">
        <v>117</v>
      </c>
      <c r="D80" s="41" t="str">
        <f ca="1">Sk.M!$E$8</f>
        <v>52 Carreau Brno - Grepl Kamila</v>
      </c>
      <c r="E80" s="159">
        <v>13</v>
      </c>
      <c r="F80" s="159">
        <v>9</v>
      </c>
      <c r="G80" s="363">
        <f ca="1">INDIRECT(ADDRESS(4,A79,1,1,"Hřiště"))</f>
        <v>20</v>
      </c>
      <c r="H80" s="16"/>
      <c r="I80">
        <v>13</v>
      </c>
      <c r="J80">
        <f>ROW()</f>
        <v>80</v>
      </c>
      <c r="K80">
        <f ca="1">IF(TRIM(D80)="-",1,IF(AND(E80="",F80=""),0,IF(N(E80)&gt;N(F80),1,2)))</f>
        <v>1</v>
      </c>
    </row>
    <row r="81" spans="1:11" ht="18.45">
      <c r="A81" s="55" t="s">
        <v>115</v>
      </c>
      <c r="B81" s="43" t="str">
        <f ca="1">Sk.M!$B$9</f>
        <v>20 Carreau Brno - Pellizon Boris Alfred</v>
      </c>
      <c r="C81" s="44" t="s">
        <v>117</v>
      </c>
      <c r="D81" s="43" t="str">
        <f ca="1">Sk.M!$E$9</f>
        <v>45 PSK Jihlava - Lujková Klára</v>
      </c>
      <c r="E81" s="160">
        <v>13</v>
      </c>
      <c r="F81" s="160">
        <v>7</v>
      </c>
      <c r="G81" s="352">
        <f ca="1">INDIRECT(ADDRESS(5,A79,1,1,"Hřiště"))</f>
        <v>21</v>
      </c>
      <c r="H81" s="16"/>
      <c r="K81">
        <f ca="1">IF(TRIM(D81)="-",1,IF(AND(E81="",F81=""),0,IF(N(E81)&gt;N(F81),1,2)))</f>
        <v>1</v>
      </c>
    </row>
    <row r="82" spans="1:11" ht="18.45">
      <c r="A82" s="55" t="s">
        <v>46</v>
      </c>
      <c r="B82" s="43" t="str">
        <f ca="1">Sk.M!$B$10</f>
        <v>13 PK Polouvsí - Valošek Radim</v>
      </c>
      <c r="C82" s="44" t="s">
        <v>117</v>
      </c>
      <c r="D82" s="43" t="str">
        <f ca="1">Sk.M!$E$10</f>
        <v>20 Carreau Brno - Pellizon Boris Alfred</v>
      </c>
      <c r="E82" s="160">
        <v>7</v>
      </c>
      <c r="F82" s="160">
        <v>13</v>
      </c>
      <c r="G82" s="352">
        <f ca="1">INDIRECT(ADDRESS(4,A79,1,1,"Hřiště"))</f>
        <v>20</v>
      </c>
      <c r="H82" s="16"/>
      <c r="K82">
        <f ca="1">IF(TRIM(D82)="-",1,IF(AND(E82="",F82=""),0,IF(N(E82)&gt;N(F82),1,2)))</f>
        <v>2</v>
      </c>
    </row>
    <row r="83" spans="1:11" ht="18.45">
      <c r="A83" s="55" t="s">
        <v>47</v>
      </c>
      <c r="B83" s="43" t="str">
        <f ca="1">Sk.M!$B$11</f>
        <v>52 Carreau Brno - Grepl Kamila</v>
      </c>
      <c r="C83" s="44" t="s">
        <v>117</v>
      </c>
      <c r="D83" s="43" t="str">
        <f ca="1">Sk.M!$E$11</f>
        <v>45 PSK Jihlava - Lujková Klára</v>
      </c>
      <c r="E83" s="160">
        <v>11</v>
      </c>
      <c r="F83" s="160">
        <v>13</v>
      </c>
      <c r="G83" s="352">
        <f ca="1">INDIRECT(ADDRESS(5,A79,1,1,"Hřiště"))</f>
        <v>21</v>
      </c>
      <c r="H83" s="16"/>
      <c r="K83">
        <f ca="1">IF(TRIM(D83)="-",1,IF(AND(E83="",F83=""),0,IF(N(E83)&gt;N(F83),1,2)))</f>
        <v>2</v>
      </c>
    </row>
    <row r="84" spans="1:11" ht="18.899999999999999" thickBot="1">
      <c r="A84" s="56" t="s">
        <v>48</v>
      </c>
      <c r="B84" s="45" t="str">
        <f ca="1">Sk.M!$B$12</f>
        <v>13 PK Polouvsí - Valošek Radim</v>
      </c>
      <c r="C84" s="44" t="s">
        <v>117</v>
      </c>
      <c r="D84" s="45" t="str">
        <f ca="1">Sk.M!$E$12</f>
        <v>45 PSK Jihlava - Lujková Klára</v>
      </c>
      <c r="E84" s="161">
        <v>13</v>
      </c>
      <c r="F84" s="161">
        <v>8</v>
      </c>
      <c r="G84" s="353">
        <f ca="1">INDIRECT(ADDRESS(4,A79,1,1,"Hřiště"))</f>
        <v>20</v>
      </c>
      <c r="K84">
        <f ca="1">IF(TRIM(D84)="-",1,IF(AND(E84="",F84=""),0,IF(N(E84)&gt;N(F84),1,2)))</f>
        <v>1</v>
      </c>
    </row>
    <row r="85" spans="1:11" ht="21.45" thickBot="1">
      <c r="A85" s="52">
        <v>14</v>
      </c>
      <c r="B85" s="52"/>
      <c r="C85" s="57" t="s">
        <v>269</v>
      </c>
      <c r="D85" s="52"/>
      <c r="E85" s="245"/>
      <c r="F85" s="245"/>
      <c r="G85" s="53"/>
      <c r="H85" s="16"/>
    </row>
    <row r="86" spans="1:11" ht="18.45">
      <c r="A86" s="54" t="s">
        <v>114</v>
      </c>
      <c r="B86" s="41" t="str">
        <f ca="1">Sk.N!$B$8</f>
        <v>14 PEK Stolín - Geislerová Veronika</v>
      </c>
      <c r="C86" s="42" t="s">
        <v>117</v>
      </c>
      <c r="D86" s="41" t="str">
        <f ca="1">Sk.N!$E$8</f>
        <v>51 UBU Únětice - Fuksa Petr</v>
      </c>
      <c r="E86" s="159">
        <v>11</v>
      </c>
      <c r="F86" s="159">
        <v>13</v>
      </c>
      <c r="G86" s="363">
        <f ca="1">INDIRECT(ADDRESS(4,A85,1,1,"Hřiště"))</f>
        <v>22</v>
      </c>
      <c r="H86" s="16"/>
      <c r="I86">
        <v>14</v>
      </c>
      <c r="J86">
        <f>ROW()</f>
        <v>86</v>
      </c>
      <c r="K86">
        <f ca="1">IF(TRIM(D86)="-",1,IF(AND(E86="",F86=""),0,IF(N(E86)&gt;N(F86),1,2)))</f>
        <v>2</v>
      </c>
    </row>
    <row r="87" spans="1:11" ht="18.45">
      <c r="A87" s="55" t="s">
        <v>115</v>
      </c>
      <c r="B87" s="43" t="str">
        <f ca="1">Sk.N!$B$9</f>
        <v>19 SKP Hranice VI-Valšovice - Gratcl Jiří</v>
      </c>
      <c r="C87" s="44" t="s">
        <v>117</v>
      </c>
      <c r="D87" s="43" t="str">
        <f ca="1">Sk.N!$E$9</f>
        <v>46 SK Sahara Vědomice - Horáčková Simona</v>
      </c>
      <c r="E87" s="160">
        <v>13</v>
      </c>
      <c r="F87" s="160">
        <v>5</v>
      </c>
      <c r="G87" s="352">
        <f ca="1">INDIRECT(ADDRESS(5,A85,1,1,"Hřiště"))</f>
        <v>23</v>
      </c>
      <c r="H87" s="16"/>
      <c r="K87">
        <f ca="1">IF(TRIM(D87)="-",1,IF(AND(E87="",F87=""),0,IF(N(E87)&gt;N(F87),1,2)))</f>
        <v>1</v>
      </c>
    </row>
    <row r="88" spans="1:11" ht="18.45">
      <c r="A88" s="55" t="s">
        <v>46</v>
      </c>
      <c r="B88" s="43" t="str">
        <f ca="1">Sk.N!$B$10</f>
        <v>51 UBU Únětice - Fuksa Petr</v>
      </c>
      <c r="C88" s="44" t="s">
        <v>117</v>
      </c>
      <c r="D88" s="43" t="str">
        <f ca="1">Sk.N!$E$10</f>
        <v>19 SKP Hranice VI-Valšovice - Gratcl Jiří</v>
      </c>
      <c r="E88" s="160">
        <v>13</v>
      </c>
      <c r="F88" s="160">
        <v>3</v>
      </c>
      <c r="G88" s="352">
        <f ca="1">INDIRECT(ADDRESS(4,A85,1,1,"Hřiště"))</f>
        <v>22</v>
      </c>
      <c r="H88" s="16"/>
      <c r="K88">
        <f ca="1">IF(TRIM(D88)="-",1,IF(AND(E88="",F88=""),0,IF(N(E88)&gt;N(F88),1,2)))</f>
        <v>1</v>
      </c>
    </row>
    <row r="89" spans="1:11" ht="18.45">
      <c r="A89" s="55" t="s">
        <v>47</v>
      </c>
      <c r="B89" s="43" t="str">
        <f ca="1">Sk.N!$B$11</f>
        <v>14 PEK Stolín - Geislerová Veronika</v>
      </c>
      <c r="C89" s="44" t="s">
        <v>117</v>
      </c>
      <c r="D89" s="43" t="str">
        <f ca="1">Sk.N!$E$11</f>
        <v>46 SK Sahara Vědomice - Horáčková Simona</v>
      </c>
      <c r="E89" s="160">
        <v>3</v>
      </c>
      <c r="F89" s="160">
        <v>13</v>
      </c>
      <c r="G89" s="352">
        <f ca="1">INDIRECT(ADDRESS(5,A85,1,1,"Hřiště"))</f>
        <v>23</v>
      </c>
      <c r="H89" s="16"/>
      <c r="K89">
        <f ca="1">IF(TRIM(D89)="-",1,IF(AND(E89="",F89=""),0,IF(N(E89)&gt;N(F89),1,2)))</f>
        <v>2</v>
      </c>
    </row>
    <row r="90" spans="1:11" ht="18.899999999999999" thickBot="1">
      <c r="A90" s="56" t="s">
        <v>48</v>
      </c>
      <c r="B90" s="45" t="str">
        <f ca="1">Sk.N!$B$12</f>
        <v>19 SKP Hranice VI-Valšovice - Gratcl Jiří</v>
      </c>
      <c r="C90" s="44" t="s">
        <v>117</v>
      </c>
      <c r="D90" s="45" t="str">
        <f ca="1">Sk.N!$E$12</f>
        <v>46 SK Sahara Vědomice - Horáčková Simona</v>
      </c>
      <c r="E90" s="161">
        <v>13</v>
      </c>
      <c r="F90" s="161">
        <v>1</v>
      </c>
      <c r="G90" s="353">
        <f ca="1">INDIRECT(ADDRESS(4,A85,1,1,"Hřiště"))</f>
        <v>22</v>
      </c>
      <c r="K90">
        <f ca="1">IF(TRIM(D90)="-",1,IF(AND(E90="",F90=""),0,IF(N(E90)&gt;N(F90),1,2)))</f>
        <v>1</v>
      </c>
    </row>
    <row r="91" spans="1:11" ht="21.45" thickBot="1">
      <c r="A91" s="52">
        <v>15</v>
      </c>
      <c r="B91" s="52"/>
      <c r="C91" s="57" t="s">
        <v>270</v>
      </c>
      <c r="D91" s="52"/>
      <c r="E91" s="245"/>
      <c r="F91" s="245"/>
      <c r="G91" s="53"/>
      <c r="H91" s="16"/>
    </row>
    <row r="92" spans="1:11" ht="18.45">
      <c r="A92" s="54" t="s">
        <v>114</v>
      </c>
      <c r="B92" s="41" t="str">
        <f ca="1">Sk.O!$B$8</f>
        <v>15 1. KPK Vrchlabí - Hančová Alice</v>
      </c>
      <c r="C92" s="42" t="s">
        <v>117</v>
      </c>
      <c r="D92" s="41" t="str">
        <f ca="1">Sk.O!$E$8</f>
        <v>50 PK Polouvsí - Rusek Luboš</v>
      </c>
      <c r="E92" s="159">
        <v>13</v>
      </c>
      <c r="F92" s="159">
        <v>6</v>
      </c>
      <c r="G92" s="363">
        <f ca="1">INDIRECT(ADDRESS(4,A91,1,1,"Hřiště"))</f>
        <v>24</v>
      </c>
      <c r="H92" s="16"/>
      <c r="I92">
        <v>15</v>
      </c>
      <c r="J92">
        <f>ROW()</f>
        <v>92</v>
      </c>
      <c r="K92">
        <f ca="1">IF(TRIM(D92)="-",1,IF(AND(E92="",F92=""),0,IF(N(E92)&gt;N(F92),1,2)))</f>
        <v>1</v>
      </c>
    </row>
    <row r="93" spans="1:11" ht="18.45">
      <c r="A93" s="55" t="s">
        <v>115</v>
      </c>
      <c r="B93" s="43" t="str">
        <f ca="1">Sk.O!$B$9</f>
        <v>18 1. KPK Vrchlabí - Brázda Vladimír</v>
      </c>
      <c r="C93" s="44" t="s">
        <v>117</v>
      </c>
      <c r="D93" s="43" t="str">
        <f ca="1">Sk.O!$E$9</f>
        <v>47 1. Starobrněnský PK - Petrželka Josef</v>
      </c>
      <c r="E93" s="160">
        <v>13</v>
      </c>
      <c r="F93" s="160">
        <v>11</v>
      </c>
      <c r="G93" s="352">
        <f ca="1">INDIRECT(ADDRESS(5,A91,1,1,"Hřiště"))</f>
        <v>25</v>
      </c>
      <c r="H93" s="16"/>
      <c r="K93">
        <f ca="1">IF(TRIM(D93)="-",1,IF(AND(E93="",F93=""),0,IF(N(E93)&gt;N(F93),1,2)))</f>
        <v>1</v>
      </c>
    </row>
    <row r="94" spans="1:11" ht="18.45">
      <c r="A94" s="55" t="s">
        <v>46</v>
      </c>
      <c r="B94" s="43" t="str">
        <f ca="1">Sk.O!$B$10</f>
        <v>15 1. KPK Vrchlabí - Hančová Alice</v>
      </c>
      <c r="C94" s="44" t="s">
        <v>117</v>
      </c>
      <c r="D94" s="43" t="str">
        <f ca="1">Sk.O!$E$10</f>
        <v>18 1. KPK Vrchlabí - Brázda Vladimír</v>
      </c>
      <c r="E94" s="160">
        <v>13</v>
      </c>
      <c r="F94" s="160">
        <v>2</v>
      </c>
      <c r="G94" s="352">
        <f ca="1">INDIRECT(ADDRESS(4,A91,1,1,"Hřiště"))</f>
        <v>24</v>
      </c>
      <c r="H94" s="16"/>
      <c r="K94">
        <f ca="1">IF(TRIM(D94)="-",1,IF(AND(E94="",F94=""),0,IF(N(E94)&gt;N(F94),1,2)))</f>
        <v>1</v>
      </c>
    </row>
    <row r="95" spans="1:11" ht="18.45">
      <c r="A95" s="55" t="s">
        <v>47</v>
      </c>
      <c r="B95" s="43" t="str">
        <f ca="1">Sk.O!$B$11</f>
        <v>50 PK Polouvsí - Rusek Luboš</v>
      </c>
      <c r="C95" s="44" t="s">
        <v>117</v>
      </c>
      <c r="D95" s="43" t="str">
        <f ca="1">Sk.O!$E$11</f>
        <v>47 1. Starobrněnský PK - Petrželka Josef</v>
      </c>
      <c r="E95" s="160">
        <v>6</v>
      </c>
      <c r="F95" s="160">
        <v>13</v>
      </c>
      <c r="G95" s="352">
        <f ca="1">INDIRECT(ADDRESS(5,A91,1,1,"Hřiště"))</f>
        <v>25</v>
      </c>
      <c r="H95" s="16"/>
      <c r="K95">
        <f ca="1">IF(TRIM(D95)="-",1,IF(AND(E95="",F95=""),0,IF(N(E95)&gt;N(F95),1,2)))</f>
        <v>2</v>
      </c>
    </row>
    <row r="96" spans="1:11" ht="18.899999999999999" thickBot="1">
      <c r="A96" s="56" t="s">
        <v>48</v>
      </c>
      <c r="B96" s="45" t="str">
        <f ca="1">Sk.O!$B$12</f>
        <v>18 1. KPK Vrchlabí - Brázda Vladimír</v>
      </c>
      <c r="C96" s="44" t="s">
        <v>117</v>
      </c>
      <c r="D96" s="45" t="str">
        <f ca="1">Sk.O!$E$12</f>
        <v>47 1. Starobrněnský PK - Petrželka Josef</v>
      </c>
      <c r="E96" s="161">
        <v>13</v>
      </c>
      <c r="F96" s="161">
        <v>4</v>
      </c>
      <c r="G96" s="353">
        <f ca="1">INDIRECT(ADDRESS(4,A91,1,1,"Hřiště"))</f>
        <v>24</v>
      </c>
      <c r="K96">
        <f ca="1">IF(TRIM(D96)="-",1,IF(AND(E96="",F96=""),0,IF(N(E96)&gt;N(F96),1,2)))</f>
        <v>1</v>
      </c>
    </row>
    <row r="97" spans="1:11" ht="21.45" thickBot="1">
      <c r="A97" s="52">
        <v>16</v>
      </c>
      <c r="B97" s="52"/>
      <c r="C97" s="57" t="s">
        <v>271</v>
      </c>
      <c r="D97" s="52"/>
      <c r="E97" s="245"/>
      <c r="F97" s="245"/>
      <c r="G97" s="53"/>
      <c r="H97" s="16"/>
    </row>
    <row r="98" spans="1:11" ht="18.45">
      <c r="A98" s="54" t="s">
        <v>114</v>
      </c>
      <c r="B98" s="41" t="str">
        <f ca="1">Sk.P!$B$8</f>
        <v>16 HAPEK - Bureš st. Pavel</v>
      </c>
      <c r="C98" s="42" t="s">
        <v>117</v>
      </c>
      <c r="D98" s="41" t="str">
        <f ca="1">Sk.P!$E$8</f>
        <v>49 PK Polouvsí - Grepl Zbyněk</v>
      </c>
      <c r="E98" s="159">
        <v>13</v>
      </c>
      <c r="F98" s="159">
        <v>1</v>
      </c>
      <c r="G98" s="363">
        <f ca="1">INDIRECT(ADDRESS(4,A97,1,1,"Hřiště"))</f>
        <v>26</v>
      </c>
      <c r="H98" s="16"/>
      <c r="I98">
        <v>16</v>
      </c>
      <c r="J98">
        <f>ROW()</f>
        <v>98</v>
      </c>
      <c r="K98">
        <f ca="1">IF(TRIM(D98)="-",1,IF(AND(E98="",F98=""),0,IF(N(E98)&gt;N(F98),1,2)))</f>
        <v>1</v>
      </c>
    </row>
    <row r="99" spans="1:11" ht="18.45">
      <c r="A99" s="55" t="s">
        <v>115</v>
      </c>
      <c r="B99" s="43" t="str">
        <f ca="1">Sk.P!$B$9</f>
        <v>17 SK Sahara Vědomice - Demčíková Jiřina</v>
      </c>
      <c r="C99" s="44" t="s">
        <v>117</v>
      </c>
      <c r="D99" s="43" t="str">
        <f ca="1">Sk.P!$E$9</f>
        <v>48 SK Pétanque Řepy - Hladík Jaroslav</v>
      </c>
      <c r="E99" s="160">
        <v>4</v>
      </c>
      <c r="F99" s="160">
        <v>13</v>
      </c>
      <c r="G99" s="352">
        <f ca="1">INDIRECT(ADDRESS(5,A97,1,1,"Hřiště"))</f>
        <v>27</v>
      </c>
      <c r="H99" s="16"/>
      <c r="K99">
        <f ca="1">IF(TRIM(D99)="-",1,IF(AND(E99="",F99=""),0,IF(N(E99)&gt;N(F99),1,2)))</f>
        <v>2</v>
      </c>
    </row>
    <row r="100" spans="1:11" ht="18.45">
      <c r="A100" s="55" t="s">
        <v>46</v>
      </c>
      <c r="B100" s="43" t="str">
        <f ca="1">Sk.P!$B$10</f>
        <v>16 HAPEK - Bureš st. Pavel</v>
      </c>
      <c r="C100" s="44" t="s">
        <v>117</v>
      </c>
      <c r="D100" s="43" t="str">
        <f ca="1">Sk.P!$E$10</f>
        <v>48 SK Pétanque Řepy - Hladík Jaroslav</v>
      </c>
      <c r="E100" s="160">
        <v>13</v>
      </c>
      <c r="F100" s="160">
        <v>4</v>
      </c>
      <c r="G100" s="352">
        <f ca="1">INDIRECT(ADDRESS(4,A97,1,1,"Hřiště"))</f>
        <v>26</v>
      </c>
      <c r="H100" s="16"/>
      <c r="K100">
        <f ca="1">IF(TRIM(D100)="-",1,IF(AND(E100="",F100=""),0,IF(N(E100)&gt;N(F100),1,2)))</f>
        <v>1</v>
      </c>
    </row>
    <row r="101" spans="1:11" ht="18.45">
      <c r="A101" s="55" t="s">
        <v>47</v>
      </c>
      <c r="B101" s="43" t="str">
        <f ca="1">Sk.P!$B$11</f>
        <v>49 PK Polouvsí - Grepl Zbyněk</v>
      </c>
      <c r="C101" s="44" t="s">
        <v>117</v>
      </c>
      <c r="D101" s="43" t="str">
        <f ca="1">Sk.P!$E$11</f>
        <v>17 SK Sahara Vědomice - Demčíková Jiřina</v>
      </c>
      <c r="E101" s="160">
        <v>7</v>
      </c>
      <c r="F101" s="160">
        <v>13</v>
      </c>
      <c r="G101" s="352">
        <f ca="1">INDIRECT(ADDRESS(5,A97,1,1,"Hřiště"))</f>
        <v>27</v>
      </c>
      <c r="H101" s="16"/>
      <c r="K101">
        <f ca="1">IF(TRIM(D101)="-",1,IF(AND(E101="",F101=""),0,IF(N(E101)&gt;N(F101),1,2)))</f>
        <v>2</v>
      </c>
    </row>
    <row r="102" spans="1:11" ht="18.899999999999999" thickBot="1">
      <c r="A102" s="56" t="s">
        <v>48</v>
      </c>
      <c r="B102" s="45" t="str">
        <f ca="1">Sk.P!$B$12</f>
        <v>48 SK Pétanque Řepy - Hladík Jaroslav</v>
      </c>
      <c r="C102" s="44" t="s">
        <v>117</v>
      </c>
      <c r="D102" s="45" t="str">
        <f ca="1">Sk.P!$E$12</f>
        <v>17 SK Sahara Vědomice - Demčíková Jiřina</v>
      </c>
      <c r="E102" s="161">
        <v>0</v>
      </c>
      <c r="F102" s="161">
        <v>13</v>
      </c>
      <c r="G102" s="353">
        <f ca="1">INDIRECT(ADDRESS(4,A97,1,1,"Hřiště"))</f>
        <v>26</v>
      </c>
      <c r="K102">
        <f ca="1">IF(TRIM(D102)="-",1,IF(AND(E102="",F102=""),0,IF(N(E102)&gt;N(F102),1,2)))</f>
        <v>2</v>
      </c>
    </row>
    <row r="103" spans="1:11" ht="21.45" thickBot="1">
      <c r="A103" s="52">
        <v>17</v>
      </c>
      <c r="B103" s="52"/>
      <c r="C103" s="57" t="s">
        <v>278</v>
      </c>
      <c r="D103" s="52"/>
      <c r="E103" s="245"/>
      <c r="F103" s="245"/>
      <c r="G103" s="53"/>
      <c r="H103" s="16"/>
    </row>
    <row r="104" spans="1:11" ht="18.45">
      <c r="A104" s="54" t="s">
        <v>114</v>
      </c>
      <c r="B104" s="41" t="str">
        <f ca="1">Sk.Q!$B$8</f>
        <v xml:space="preserve"> - </v>
      </c>
      <c r="C104" s="42" t="s">
        <v>117</v>
      </c>
      <c r="D104" s="41" t="str">
        <f ca="1">Sk.Q!$E$8</f>
        <v xml:space="preserve"> - </v>
      </c>
      <c r="E104" s="159"/>
      <c r="F104" s="159"/>
      <c r="G104" s="363">
        <f ca="1">INDIRECT(ADDRESS(4,A103,1,1,"Hřiště"))</f>
        <v>0</v>
      </c>
      <c r="H104" s="16"/>
      <c r="I104">
        <v>17</v>
      </c>
      <c r="J104">
        <f>ROW()</f>
        <v>104</v>
      </c>
      <c r="K104">
        <f ca="1">IF(TRIM(D104)="-",1,IF(AND(E104="",F104=""),0,IF(N(E104)&gt;N(F104),1,2)))</f>
        <v>1</v>
      </c>
    </row>
    <row r="105" spans="1:11" ht="18.45">
      <c r="A105" s="55" t="s">
        <v>115</v>
      </c>
      <c r="B105" s="43" t="str">
        <f ca="1">Sk.Q!$B$9</f>
        <v xml:space="preserve"> - </v>
      </c>
      <c r="C105" s="44" t="s">
        <v>117</v>
      </c>
      <c r="D105" s="43" t="str">
        <f ca="1">Sk.Q!$E$9</f>
        <v xml:space="preserve"> - </v>
      </c>
      <c r="E105" s="160"/>
      <c r="F105" s="160"/>
      <c r="G105" s="352">
        <f ca="1">INDIRECT(ADDRESS(5,A103,1,1,"Hřiště"))</f>
        <v>0</v>
      </c>
      <c r="H105" s="16"/>
      <c r="K105">
        <f ca="1">IF(TRIM(D105)="-",1,IF(AND(E105="",F105=""),0,IF(N(E105)&gt;N(F105),1,2)))</f>
        <v>1</v>
      </c>
    </row>
    <row r="106" spans="1:11" ht="18.45">
      <c r="A106" s="55" t="s">
        <v>46</v>
      </c>
      <c r="B106" s="43" t="str">
        <f ca="1">Sk.Q!$B$10</f>
        <v xml:space="preserve"> - </v>
      </c>
      <c r="C106" s="44" t="s">
        <v>117</v>
      </c>
      <c r="D106" s="43" t="str">
        <f>Sk.Q!$E$10</f>
        <v xml:space="preserve"> </v>
      </c>
      <c r="E106" s="160"/>
      <c r="F106" s="160"/>
      <c r="G106" s="352">
        <f ca="1">INDIRECT(ADDRESS(4,A103,1,1,"Hřiště"))</f>
        <v>0</v>
      </c>
      <c r="H106" s="16"/>
      <c r="K106">
        <f>IF(TRIM(D106)="-",1,IF(AND(E106="",F106=""),0,IF(N(E106)&gt;N(F106),1,2)))</f>
        <v>0</v>
      </c>
    </row>
    <row r="107" spans="1:11" ht="18.45">
      <c r="A107" s="55" t="s">
        <v>47</v>
      </c>
      <c r="B107" s="43" t="str">
        <f ca="1">Sk.Q!$B$11</f>
        <v xml:space="preserve"> - </v>
      </c>
      <c r="C107" s="44" t="s">
        <v>117</v>
      </c>
      <c r="D107" s="43" t="str">
        <f ca="1">Sk.Q!$E$11</f>
        <v xml:space="preserve"> </v>
      </c>
      <c r="E107" s="160"/>
      <c r="F107" s="160"/>
      <c r="G107" s="352">
        <f ca="1">INDIRECT(ADDRESS(5,A103,1,1,"Hřiště"))</f>
        <v>0</v>
      </c>
      <c r="H107" s="16"/>
      <c r="K107">
        <f ca="1">IF(TRIM(D107)="-",1,IF(AND(E107="",F107=""),0,IF(N(E107)&gt;N(F107),1,2)))</f>
        <v>0</v>
      </c>
    </row>
    <row r="108" spans="1:11" ht="18.899999999999999" thickBot="1">
      <c r="A108" s="56" t="s">
        <v>48</v>
      </c>
      <c r="B108" s="45" t="str">
        <f>Sk.Q!$B$12</f>
        <v xml:space="preserve"> </v>
      </c>
      <c r="C108" s="44" t="s">
        <v>117</v>
      </c>
      <c r="D108" s="45" t="str">
        <f ca="1">Sk.Q!$E$12</f>
        <v xml:space="preserve"> </v>
      </c>
      <c r="E108" s="161"/>
      <c r="F108" s="161"/>
      <c r="G108" s="353">
        <f ca="1">INDIRECT(ADDRESS(4,A103,1,1,"Hřiště"))</f>
        <v>0</v>
      </c>
      <c r="K108">
        <f ca="1">IF(TRIM(D108)="-",1,IF(AND(E108="",F108=""),0,IF(N(E108)&gt;N(F108),1,2)))</f>
        <v>0</v>
      </c>
    </row>
    <row r="109" spans="1:11" ht="21.45" thickBot="1">
      <c r="A109" s="52">
        <v>18</v>
      </c>
      <c r="B109" s="52"/>
      <c r="C109" s="57" t="s">
        <v>279</v>
      </c>
      <c r="D109" s="52"/>
      <c r="E109" s="245"/>
      <c r="F109" s="245"/>
      <c r="G109" s="53"/>
      <c r="H109" s="16"/>
    </row>
    <row r="110" spans="1:11" ht="18.45">
      <c r="A110" s="54" t="s">
        <v>114</v>
      </c>
      <c r="B110" s="41" t="str">
        <f ca="1">Sk.R!$B$8</f>
        <v xml:space="preserve"> - </v>
      </c>
      <c r="C110" s="42" t="s">
        <v>117</v>
      </c>
      <c r="D110" s="41" t="str">
        <f ca="1">Sk.R!$E$8</f>
        <v xml:space="preserve"> - </v>
      </c>
      <c r="E110" s="159"/>
      <c r="F110" s="159"/>
      <c r="G110" s="363">
        <f ca="1">INDIRECT(ADDRESS(4,A109,1,1,"Hřiště"))</f>
        <v>0</v>
      </c>
      <c r="H110" s="16"/>
      <c r="I110">
        <v>18</v>
      </c>
      <c r="J110">
        <f>ROW()</f>
        <v>110</v>
      </c>
      <c r="K110">
        <f ca="1">IF(TRIM(D110)="-",1,IF(AND(E110="",F110=""),0,IF(N(E110)&gt;N(F110),1,2)))</f>
        <v>1</v>
      </c>
    </row>
    <row r="111" spans="1:11" ht="18.45">
      <c r="A111" s="55" t="s">
        <v>115</v>
      </c>
      <c r="B111" s="43" t="str">
        <f ca="1">Sk.R!$B$9</f>
        <v xml:space="preserve"> - </v>
      </c>
      <c r="C111" s="44" t="s">
        <v>117</v>
      </c>
      <c r="D111" s="43" t="str">
        <f ca="1">Sk.R!$E$9</f>
        <v xml:space="preserve"> - </v>
      </c>
      <c r="E111" s="160"/>
      <c r="F111" s="160"/>
      <c r="G111" s="352">
        <f ca="1">INDIRECT(ADDRESS(5,A109,1,1,"Hřiště"))</f>
        <v>0</v>
      </c>
      <c r="H111" s="16"/>
      <c r="K111">
        <f ca="1">IF(TRIM(D111)="-",1,IF(AND(E111="",F111=""),0,IF(N(E111)&gt;N(F111),1,2)))</f>
        <v>1</v>
      </c>
    </row>
    <row r="112" spans="1:11" ht="18.45">
      <c r="A112" s="55" t="s">
        <v>46</v>
      </c>
      <c r="B112" s="43" t="str">
        <f ca="1">Sk.R!$B$10</f>
        <v xml:space="preserve"> - </v>
      </c>
      <c r="C112" s="44" t="s">
        <v>117</v>
      </c>
      <c r="D112" s="43" t="str">
        <f>Sk.R!$E$10</f>
        <v xml:space="preserve"> </v>
      </c>
      <c r="E112" s="160"/>
      <c r="F112" s="160"/>
      <c r="G112" s="352">
        <f ca="1">INDIRECT(ADDRESS(4,A109,1,1,"Hřiště"))</f>
        <v>0</v>
      </c>
      <c r="H112" s="16"/>
      <c r="K112">
        <f>IF(TRIM(D112)="-",1,IF(AND(E112="",F112=""),0,IF(N(E112)&gt;N(F112),1,2)))</f>
        <v>0</v>
      </c>
    </row>
    <row r="113" spans="1:11" ht="18.45">
      <c r="A113" s="55" t="s">
        <v>47</v>
      </c>
      <c r="B113" s="43" t="str">
        <f ca="1">Sk.R!$B$11</f>
        <v xml:space="preserve"> - </v>
      </c>
      <c r="C113" s="44" t="s">
        <v>117</v>
      </c>
      <c r="D113" s="43" t="str">
        <f ca="1">Sk.R!$E$11</f>
        <v xml:space="preserve"> </v>
      </c>
      <c r="E113" s="160"/>
      <c r="F113" s="160"/>
      <c r="G113" s="352">
        <f ca="1">INDIRECT(ADDRESS(5,A109,1,1,"Hřiště"))</f>
        <v>0</v>
      </c>
      <c r="H113" s="16"/>
      <c r="K113">
        <f ca="1">IF(TRIM(D113)="-",1,IF(AND(E113="",F113=""),0,IF(N(E113)&gt;N(F113),1,2)))</f>
        <v>0</v>
      </c>
    </row>
    <row r="114" spans="1:11" ht="18.899999999999999" thickBot="1">
      <c r="A114" s="56" t="s">
        <v>48</v>
      </c>
      <c r="B114" s="45" t="str">
        <f>Sk.R!$B$12</f>
        <v xml:space="preserve"> </v>
      </c>
      <c r="C114" s="44" t="s">
        <v>117</v>
      </c>
      <c r="D114" s="45" t="str">
        <f ca="1">Sk.R!$E$12</f>
        <v xml:space="preserve"> </v>
      </c>
      <c r="E114" s="161"/>
      <c r="F114" s="161"/>
      <c r="G114" s="353">
        <f ca="1">INDIRECT(ADDRESS(4,A109,1,1,"Hřiště"))</f>
        <v>0</v>
      </c>
      <c r="K114">
        <f ca="1">IF(TRIM(D114)="-",1,IF(AND(E114="",F114=""),0,IF(N(E114)&gt;N(F114),1,2)))</f>
        <v>0</v>
      </c>
    </row>
    <row r="115" spans="1:11" ht="21.45" thickBot="1">
      <c r="A115" s="52">
        <v>19</v>
      </c>
      <c r="B115" s="52"/>
      <c r="C115" s="57" t="s">
        <v>280</v>
      </c>
      <c r="D115" s="52"/>
      <c r="E115" s="245"/>
      <c r="F115" s="245"/>
      <c r="G115" s="53"/>
      <c r="H115" s="16"/>
    </row>
    <row r="116" spans="1:11" ht="18.45">
      <c r="A116" s="54" t="s">
        <v>114</v>
      </c>
      <c r="B116" s="41" t="str">
        <f ca="1">Sk.S!$B$8</f>
        <v xml:space="preserve"> - </v>
      </c>
      <c r="C116" s="42" t="s">
        <v>117</v>
      </c>
      <c r="D116" s="41" t="str">
        <f ca="1">Sk.S!$E$8</f>
        <v xml:space="preserve"> - </v>
      </c>
      <c r="E116" s="159"/>
      <c r="F116" s="159"/>
      <c r="G116" s="363">
        <f ca="1">INDIRECT(ADDRESS(4,A115,1,1,"Hřiště"))</f>
        <v>0</v>
      </c>
      <c r="H116" s="16"/>
      <c r="I116">
        <v>19</v>
      </c>
      <c r="J116">
        <f>ROW()</f>
        <v>116</v>
      </c>
      <c r="K116">
        <f ca="1">IF(TRIM(D116)="-",1,IF(AND(E116="",F116=""),0,IF(N(E116)&gt;N(F116),1,2)))</f>
        <v>1</v>
      </c>
    </row>
    <row r="117" spans="1:11" ht="18.45">
      <c r="A117" s="55" t="s">
        <v>115</v>
      </c>
      <c r="B117" s="43" t="str">
        <f ca="1">Sk.S!$B$9</f>
        <v xml:space="preserve"> - </v>
      </c>
      <c r="C117" s="44" t="s">
        <v>117</v>
      </c>
      <c r="D117" s="43" t="str">
        <f ca="1">Sk.S!$E$9</f>
        <v xml:space="preserve"> - </v>
      </c>
      <c r="E117" s="160"/>
      <c r="F117" s="160"/>
      <c r="G117" s="352">
        <f ca="1">INDIRECT(ADDRESS(5,A115,1,1,"Hřiště"))</f>
        <v>0</v>
      </c>
      <c r="H117" s="16"/>
      <c r="K117">
        <f ca="1">IF(TRIM(D117)="-",1,IF(AND(E117="",F117=""),0,IF(N(E117)&gt;N(F117),1,2)))</f>
        <v>1</v>
      </c>
    </row>
    <row r="118" spans="1:11" ht="18.45">
      <c r="A118" s="55" t="s">
        <v>46</v>
      </c>
      <c r="B118" s="43" t="str">
        <f ca="1">Sk.S!$B$10</f>
        <v xml:space="preserve"> - </v>
      </c>
      <c r="C118" s="44" t="s">
        <v>117</v>
      </c>
      <c r="D118" s="43" t="str">
        <f>Sk.S!$E$10</f>
        <v xml:space="preserve"> </v>
      </c>
      <c r="E118" s="160"/>
      <c r="F118" s="160"/>
      <c r="G118" s="352">
        <f ca="1">INDIRECT(ADDRESS(4,A115,1,1,"Hřiště"))</f>
        <v>0</v>
      </c>
      <c r="H118" s="16"/>
      <c r="K118">
        <f>IF(TRIM(D118)="-",1,IF(AND(E118="",F118=""),0,IF(N(E118)&gt;N(F118),1,2)))</f>
        <v>0</v>
      </c>
    </row>
    <row r="119" spans="1:11" ht="18.45">
      <c r="A119" s="55" t="s">
        <v>47</v>
      </c>
      <c r="B119" s="43" t="str">
        <f ca="1">Sk.S!$B$11</f>
        <v xml:space="preserve"> - </v>
      </c>
      <c r="C119" s="44" t="s">
        <v>117</v>
      </c>
      <c r="D119" s="43" t="str">
        <f ca="1">Sk.S!$E$11</f>
        <v xml:space="preserve"> </v>
      </c>
      <c r="E119" s="160"/>
      <c r="F119" s="160"/>
      <c r="G119" s="352">
        <f ca="1">INDIRECT(ADDRESS(5,A115,1,1,"Hřiště"))</f>
        <v>0</v>
      </c>
      <c r="H119" s="16"/>
      <c r="K119">
        <f ca="1">IF(TRIM(D119)="-",1,IF(AND(E119="",F119=""),0,IF(N(E119)&gt;N(F119),1,2)))</f>
        <v>0</v>
      </c>
    </row>
    <row r="120" spans="1:11" ht="18.899999999999999" thickBot="1">
      <c r="A120" s="56" t="s">
        <v>48</v>
      </c>
      <c r="B120" s="45" t="str">
        <f>Sk.S!$B$12</f>
        <v xml:space="preserve"> </v>
      </c>
      <c r="C120" s="44" t="s">
        <v>117</v>
      </c>
      <c r="D120" s="45" t="str">
        <f ca="1">Sk.S!$E$12</f>
        <v xml:space="preserve"> </v>
      </c>
      <c r="E120" s="161"/>
      <c r="F120" s="161"/>
      <c r="G120" s="353">
        <f ca="1">INDIRECT(ADDRESS(4,A115,1,1,"Hřiště"))</f>
        <v>0</v>
      </c>
      <c r="K120">
        <f ca="1">IF(TRIM(D120)="-",1,IF(AND(E120="",F120=""),0,IF(N(E120)&gt;N(F120),1,2)))</f>
        <v>0</v>
      </c>
    </row>
    <row r="121" spans="1:11" ht="21.45" thickBot="1">
      <c r="A121" s="52">
        <v>20</v>
      </c>
      <c r="B121" s="52"/>
      <c r="C121" s="57" t="s">
        <v>281</v>
      </c>
      <c r="D121" s="52"/>
      <c r="E121" s="245"/>
      <c r="F121" s="245"/>
      <c r="G121" s="53"/>
      <c r="H121" s="16"/>
    </row>
    <row r="122" spans="1:11" ht="18.45">
      <c r="A122" s="54" t="s">
        <v>114</v>
      </c>
      <c r="B122" s="41" t="str">
        <f ca="1">Sk.T!$B$8</f>
        <v xml:space="preserve"> - </v>
      </c>
      <c r="C122" s="42" t="s">
        <v>117</v>
      </c>
      <c r="D122" s="41" t="str">
        <f ca="1">Sk.T!$E$8</f>
        <v xml:space="preserve"> - </v>
      </c>
      <c r="E122" s="159"/>
      <c r="F122" s="159"/>
      <c r="G122" s="363">
        <f ca="1">INDIRECT(ADDRESS(4,A121,1,1,"Hřiště"))</f>
        <v>0</v>
      </c>
      <c r="H122" s="16"/>
      <c r="I122">
        <v>20</v>
      </c>
      <c r="J122">
        <f>ROW()</f>
        <v>122</v>
      </c>
      <c r="K122">
        <f ca="1">IF(TRIM(D122)="-",1,IF(AND(E122="",F122=""),0,IF(N(E122)&gt;N(F122),1,2)))</f>
        <v>1</v>
      </c>
    </row>
    <row r="123" spans="1:11" ht="18.45">
      <c r="A123" s="55" t="s">
        <v>115</v>
      </c>
      <c r="B123" s="43" t="str">
        <f ca="1">Sk.T!$B$9</f>
        <v xml:space="preserve"> - </v>
      </c>
      <c r="C123" s="44" t="s">
        <v>117</v>
      </c>
      <c r="D123" s="43" t="str">
        <f ca="1">Sk.T!$E$9</f>
        <v xml:space="preserve"> - </v>
      </c>
      <c r="E123" s="160"/>
      <c r="F123" s="160"/>
      <c r="G123" s="352">
        <f ca="1">INDIRECT(ADDRESS(5,A121,1,1,"Hřiště"))</f>
        <v>0</v>
      </c>
      <c r="H123" s="16"/>
      <c r="K123">
        <f ca="1">IF(TRIM(D123)="-",1,IF(AND(E123="",F123=""),0,IF(N(E123)&gt;N(F123),1,2)))</f>
        <v>1</v>
      </c>
    </row>
    <row r="124" spans="1:11" ht="18.45">
      <c r="A124" s="55" t="s">
        <v>46</v>
      </c>
      <c r="B124" s="43" t="str">
        <f ca="1">Sk.T!$B$10</f>
        <v xml:space="preserve"> - </v>
      </c>
      <c r="C124" s="44" t="s">
        <v>117</v>
      </c>
      <c r="D124" s="43" t="str">
        <f>Sk.T!$E$10</f>
        <v xml:space="preserve"> </v>
      </c>
      <c r="E124" s="160"/>
      <c r="F124" s="160"/>
      <c r="G124" s="352">
        <f ca="1">INDIRECT(ADDRESS(4,A121,1,1,"Hřiště"))</f>
        <v>0</v>
      </c>
      <c r="H124" s="16"/>
      <c r="K124">
        <f>IF(TRIM(D124)="-",1,IF(AND(E124="",F124=""),0,IF(N(E124)&gt;N(F124),1,2)))</f>
        <v>0</v>
      </c>
    </row>
    <row r="125" spans="1:11" ht="18.45">
      <c r="A125" s="55" t="s">
        <v>47</v>
      </c>
      <c r="B125" s="43" t="str">
        <f ca="1">Sk.T!$B$11</f>
        <v xml:space="preserve"> - </v>
      </c>
      <c r="C125" s="44" t="s">
        <v>117</v>
      </c>
      <c r="D125" s="43" t="str">
        <f ca="1">Sk.T!$E$11</f>
        <v xml:space="preserve"> </v>
      </c>
      <c r="E125" s="160"/>
      <c r="F125" s="160"/>
      <c r="G125" s="352">
        <f ca="1">INDIRECT(ADDRESS(5,A121,1,1,"Hřiště"))</f>
        <v>0</v>
      </c>
      <c r="H125" s="16"/>
      <c r="K125">
        <f ca="1">IF(TRIM(D125)="-",1,IF(AND(E125="",F125=""),0,IF(N(E125)&gt;N(F125),1,2)))</f>
        <v>0</v>
      </c>
    </row>
    <row r="126" spans="1:11" ht="18.899999999999999" thickBot="1">
      <c r="A126" s="56" t="s">
        <v>48</v>
      </c>
      <c r="B126" s="45" t="str">
        <f>Sk.T!$B$12</f>
        <v xml:space="preserve"> </v>
      </c>
      <c r="C126" s="44" t="s">
        <v>117</v>
      </c>
      <c r="D126" s="45" t="str">
        <f ca="1">Sk.T!$E$12</f>
        <v xml:space="preserve"> </v>
      </c>
      <c r="E126" s="161"/>
      <c r="F126" s="161"/>
      <c r="G126" s="353">
        <f ca="1">INDIRECT(ADDRESS(4,A121,1,1,"Hřiště"))</f>
        <v>0</v>
      </c>
      <c r="K126">
        <f ca="1">IF(TRIM(D126)="-",1,IF(AND(E126="",F126=""),0,IF(N(E126)&gt;N(F126),1,2)))</f>
        <v>0</v>
      </c>
    </row>
    <row r="127" spans="1:11" ht="21.45" thickBot="1">
      <c r="A127" s="52">
        <v>21</v>
      </c>
      <c r="B127" s="52"/>
      <c r="C127" s="57" t="s">
        <v>282</v>
      </c>
      <c r="D127" s="52"/>
      <c r="E127" s="245"/>
      <c r="F127" s="245"/>
      <c r="G127" s="53"/>
      <c r="H127" s="16"/>
    </row>
    <row r="128" spans="1:11" ht="18.45">
      <c r="A128" s="54" t="s">
        <v>114</v>
      </c>
      <c r="B128" s="41" t="str">
        <f ca="1">Sk.U!$B$8</f>
        <v xml:space="preserve"> - </v>
      </c>
      <c r="C128" s="42" t="s">
        <v>117</v>
      </c>
      <c r="D128" s="41" t="str">
        <f ca="1">Sk.U!$E$8</f>
        <v xml:space="preserve"> - </v>
      </c>
      <c r="E128" s="159"/>
      <c r="F128" s="159"/>
      <c r="G128" s="363">
        <f ca="1">INDIRECT(ADDRESS(4,A127,1,1,"Hřiště"))</f>
        <v>0</v>
      </c>
      <c r="H128" s="16"/>
      <c r="I128">
        <v>21</v>
      </c>
      <c r="J128">
        <f>ROW()</f>
        <v>128</v>
      </c>
      <c r="K128">
        <f ca="1">IF(TRIM(D128)="-",1,IF(AND(E128="",F128=""),0,IF(N(E128)&gt;N(F128),1,2)))</f>
        <v>1</v>
      </c>
    </row>
    <row r="129" spans="1:11" ht="18.45">
      <c r="A129" s="55" t="s">
        <v>115</v>
      </c>
      <c r="B129" s="43" t="str">
        <f ca="1">Sk.U!$B$9</f>
        <v xml:space="preserve"> - </v>
      </c>
      <c r="C129" s="44" t="s">
        <v>117</v>
      </c>
      <c r="D129" s="43" t="str">
        <f ca="1">Sk.U!$E$9</f>
        <v xml:space="preserve"> - </v>
      </c>
      <c r="E129" s="160"/>
      <c r="F129" s="160"/>
      <c r="G129" s="352">
        <f ca="1">INDIRECT(ADDRESS(5,A127,1,1,"Hřiště"))</f>
        <v>0</v>
      </c>
      <c r="H129" s="16"/>
      <c r="K129">
        <f ca="1">IF(TRIM(D129)="-",1,IF(AND(E129="",F129=""),0,IF(N(E129)&gt;N(F129),1,2)))</f>
        <v>1</v>
      </c>
    </row>
    <row r="130" spans="1:11" ht="18.45">
      <c r="A130" s="55" t="s">
        <v>46</v>
      </c>
      <c r="B130" s="43" t="str">
        <f ca="1">Sk.U!$B$10</f>
        <v xml:space="preserve"> - </v>
      </c>
      <c r="C130" s="44" t="s">
        <v>117</v>
      </c>
      <c r="D130" s="43" t="str">
        <f>Sk.U!$E$10</f>
        <v xml:space="preserve"> </v>
      </c>
      <c r="E130" s="160"/>
      <c r="F130" s="160"/>
      <c r="G130" s="352">
        <f ca="1">INDIRECT(ADDRESS(4,A127,1,1,"Hřiště"))</f>
        <v>0</v>
      </c>
      <c r="H130" s="16"/>
      <c r="K130">
        <f>IF(TRIM(D130)="-",1,IF(AND(E130="",F130=""),0,IF(N(E130)&gt;N(F130),1,2)))</f>
        <v>0</v>
      </c>
    </row>
    <row r="131" spans="1:11" ht="18.45">
      <c r="A131" s="55" t="s">
        <v>47</v>
      </c>
      <c r="B131" s="43" t="str">
        <f ca="1">Sk.U!$B$11</f>
        <v xml:space="preserve"> - </v>
      </c>
      <c r="C131" s="44" t="s">
        <v>117</v>
      </c>
      <c r="D131" s="43" t="str">
        <f ca="1">Sk.U!$E$11</f>
        <v xml:space="preserve"> </v>
      </c>
      <c r="E131" s="160"/>
      <c r="F131" s="160"/>
      <c r="G131" s="352">
        <f ca="1">INDIRECT(ADDRESS(5,A127,1,1,"Hřiště"))</f>
        <v>0</v>
      </c>
      <c r="H131" s="16"/>
      <c r="K131">
        <f ca="1">IF(TRIM(D131)="-",1,IF(AND(E131="",F131=""),0,IF(N(E131)&gt;N(F131),1,2)))</f>
        <v>0</v>
      </c>
    </row>
    <row r="132" spans="1:11" ht="18.899999999999999" thickBot="1">
      <c r="A132" s="56" t="s">
        <v>48</v>
      </c>
      <c r="B132" s="45" t="str">
        <f>Sk.U!$B$12</f>
        <v xml:space="preserve"> </v>
      </c>
      <c r="C132" s="44" t="s">
        <v>117</v>
      </c>
      <c r="D132" s="45" t="str">
        <f ca="1">Sk.U!$E$12</f>
        <v xml:space="preserve"> </v>
      </c>
      <c r="E132" s="161"/>
      <c r="F132" s="161"/>
      <c r="G132" s="353">
        <f ca="1">INDIRECT(ADDRESS(4,A127,1,1,"Hřiště"))</f>
        <v>0</v>
      </c>
      <c r="K132">
        <f ca="1">IF(TRIM(D132)="-",1,IF(AND(E132="",F132=""),0,IF(N(E132)&gt;N(F132),1,2)))</f>
        <v>0</v>
      </c>
    </row>
    <row r="133" spans="1:11" ht="21.45" thickBot="1">
      <c r="A133" s="52">
        <v>22</v>
      </c>
      <c r="B133" s="52"/>
      <c r="C133" s="57" t="s">
        <v>283</v>
      </c>
      <c r="D133" s="52"/>
      <c r="E133" s="245"/>
      <c r="F133" s="245"/>
      <c r="G133" s="53"/>
      <c r="H133" s="16"/>
    </row>
    <row r="134" spans="1:11" ht="18.45">
      <c r="A134" s="54" t="s">
        <v>114</v>
      </c>
      <c r="B134" s="41" t="str">
        <f ca="1">Sk.V!$B$8</f>
        <v xml:space="preserve"> - </v>
      </c>
      <c r="C134" s="42" t="s">
        <v>117</v>
      </c>
      <c r="D134" s="41" t="str">
        <f ca="1">Sk.V!$E$8</f>
        <v xml:space="preserve"> - </v>
      </c>
      <c r="E134" s="159"/>
      <c r="F134" s="159"/>
      <c r="G134" s="363">
        <f ca="1">INDIRECT(ADDRESS(4,A133,1,1,"Hřiště"))</f>
        <v>0</v>
      </c>
      <c r="H134" s="16"/>
      <c r="I134">
        <v>22</v>
      </c>
      <c r="J134">
        <f>ROW()</f>
        <v>134</v>
      </c>
      <c r="K134">
        <f ca="1">IF(TRIM(D134)="-",1,IF(AND(E134="",F134=""),0,IF(N(E134)&gt;N(F134),1,2)))</f>
        <v>1</v>
      </c>
    </row>
    <row r="135" spans="1:11" ht="18.45">
      <c r="A135" s="55" t="s">
        <v>115</v>
      </c>
      <c r="B135" s="43" t="str">
        <f ca="1">Sk.V!$B$9</f>
        <v xml:space="preserve"> - </v>
      </c>
      <c r="C135" s="44" t="s">
        <v>117</v>
      </c>
      <c r="D135" s="43" t="str">
        <f ca="1">Sk.V!$E$9</f>
        <v xml:space="preserve"> - </v>
      </c>
      <c r="E135" s="160"/>
      <c r="F135" s="160"/>
      <c r="G135" s="352">
        <f ca="1">INDIRECT(ADDRESS(5,A133,1,1,"Hřiště"))</f>
        <v>0</v>
      </c>
      <c r="H135" s="16"/>
      <c r="K135">
        <f ca="1">IF(TRIM(D135)="-",1,IF(AND(E135="",F135=""),0,IF(N(E135)&gt;N(F135),1,2)))</f>
        <v>1</v>
      </c>
    </row>
    <row r="136" spans="1:11" ht="18.45">
      <c r="A136" s="55" t="s">
        <v>46</v>
      </c>
      <c r="B136" s="43" t="str">
        <f ca="1">Sk.V!$B$10</f>
        <v xml:space="preserve"> - </v>
      </c>
      <c r="C136" s="44" t="s">
        <v>117</v>
      </c>
      <c r="D136" s="43" t="str">
        <f>Sk.V!$E$10</f>
        <v xml:space="preserve"> </v>
      </c>
      <c r="E136" s="160"/>
      <c r="F136" s="160"/>
      <c r="G136" s="352">
        <f ca="1">INDIRECT(ADDRESS(4,A133,1,1,"Hřiště"))</f>
        <v>0</v>
      </c>
      <c r="H136" s="16"/>
      <c r="K136">
        <f>IF(TRIM(D136)="-",1,IF(AND(E136="",F136=""),0,IF(N(E136)&gt;N(F136),1,2)))</f>
        <v>0</v>
      </c>
    </row>
    <row r="137" spans="1:11" ht="18.45">
      <c r="A137" s="55" t="s">
        <v>47</v>
      </c>
      <c r="B137" s="43" t="str">
        <f ca="1">Sk.V!$B$11</f>
        <v xml:space="preserve"> - </v>
      </c>
      <c r="C137" s="44" t="s">
        <v>117</v>
      </c>
      <c r="D137" s="43" t="str">
        <f ca="1">Sk.V!$E$11</f>
        <v xml:space="preserve"> </v>
      </c>
      <c r="E137" s="160"/>
      <c r="F137" s="160"/>
      <c r="G137" s="352">
        <f ca="1">INDIRECT(ADDRESS(5,A133,1,1,"Hřiště"))</f>
        <v>0</v>
      </c>
      <c r="H137" s="16"/>
      <c r="K137">
        <f ca="1">IF(TRIM(D137)="-",1,IF(AND(E137="",F137=""),0,IF(N(E137)&gt;N(F137),1,2)))</f>
        <v>0</v>
      </c>
    </row>
    <row r="138" spans="1:11" ht="18.899999999999999" thickBot="1">
      <c r="A138" s="56" t="s">
        <v>48</v>
      </c>
      <c r="B138" s="45" t="str">
        <f>Sk.V!$B$12</f>
        <v xml:space="preserve"> </v>
      </c>
      <c r="C138" s="44" t="s">
        <v>117</v>
      </c>
      <c r="D138" s="45" t="str">
        <f ca="1">Sk.V!$E$12</f>
        <v xml:space="preserve"> </v>
      </c>
      <c r="E138" s="161"/>
      <c r="F138" s="161"/>
      <c r="G138" s="353">
        <f ca="1">INDIRECT(ADDRESS(4,A133,1,1,"Hřiště"))</f>
        <v>0</v>
      </c>
      <c r="K138">
        <f ca="1">IF(TRIM(D138)="-",1,IF(AND(E138="",F138=""),0,IF(N(E138)&gt;N(F138),1,2)))</f>
        <v>0</v>
      </c>
    </row>
    <row r="139" spans="1:11" ht="21.45" thickBot="1">
      <c r="A139" s="52">
        <v>23</v>
      </c>
      <c r="B139" s="52"/>
      <c r="C139" s="57" t="s">
        <v>284</v>
      </c>
      <c r="D139" s="52"/>
      <c r="E139" s="245"/>
      <c r="F139" s="245"/>
      <c r="G139" s="53"/>
      <c r="H139" s="16"/>
    </row>
    <row r="140" spans="1:11" ht="18.45">
      <c r="A140" s="54" t="s">
        <v>114</v>
      </c>
      <c r="B140" s="41" t="str">
        <f ca="1">Sk.W!$B$8</f>
        <v xml:space="preserve"> - </v>
      </c>
      <c r="C140" s="42" t="s">
        <v>117</v>
      </c>
      <c r="D140" s="41" t="str">
        <f ca="1">Sk.W!$E$8</f>
        <v xml:space="preserve"> - </v>
      </c>
      <c r="E140" s="159"/>
      <c r="F140" s="159"/>
      <c r="G140" s="363">
        <f ca="1">INDIRECT(ADDRESS(4,A139,1,1,"Hřiště"))</f>
        <v>0</v>
      </c>
      <c r="H140" s="16"/>
      <c r="I140">
        <v>23</v>
      </c>
      <c r="J140">
        <f>ROW()</f>
        <v>140</v>
      </c>
      <c r="K140">
        <f ca="1">IF(TRIM(D140)="-",1,IF(AND(E140="",F140=""),0,IF(N(E140)&gt;N(F140),1,2)))</f>
        <v>1</v>
      </c>
    </row>
    <row r="141" spans="1:11" ht="18.45">
      <c r="A141" s="55" t="s">
        <v>115</v>
      </c>
      <c r="B141" s="43" t="str">
        <f ca="1">Sk.W!$B$9</f>
        <v xml:space="preserve"> - </v>
      </c>
      <c r="C141" s="44" t="s">
        <v>117</v>
      </c>
      <c r="D141" s="43" t="str">
        <f ca="1">Sk.W!$E$9</f>
        <v xml:space="preserve"> - </v>
      </c>
      <c r="E141" s="160"/>
      <c r="F141" s="160"/>
      <c r="G141" s="352">
        <f ca="1">INDIRECT(ADDRESS(5,A139,1,1,"Hřiště"))</f>
        <v>0</v>
      </c>
      <c r="H141" s="16"/>
      <c r="K141">
        <f ca="1">IF(TRIM(D141)="-",1,IF(AND(E141="",F141=""),0,IF(N(E141)&gt;N(F141),1,2)))</f>
        <v>1</v>
      </c>
    </row>
    <row r="142" spans="1:11" ht="18.45">
      <c r="A142" s="55" t="s">
        <v>46</v>
      </c>
      <c r="B142" s="43" t="str">
        <f ca="1">Sk.W!$B$10</f>
        <v xml:space="preserve"> - </v>
      </c>
      <c r="C142" s="44" t="s">
        <v>117</v>
      </c>
      <c r="D142" s="43" t="str">
        <f>Sk.W!$E$10</f>
        <v xml:space="preserve"> </v>
      </c>
      <c r="E142" s="160"/>
      <c r="F142" s="160"/>
      <c r="G142" s="352">
        <f ca="1">INDIRECT(ADDRESS(4,A139,1,1,"Hřiště"))</f>
        <v>0</v>
      </c>
      <c r="H142" s="16"/>
      <c r="K142">
        <f>IF(TRIM(D142)="-",1,IF(AND(E142="",F142=""),0,IF(N(E142)&gt;N(F142),1,2)))</f>
        <v>0</v>
      </c>
    </row>
    <row r="143" spans="1:11" ht="18.45">
      <c r="A143" s="55" t="s">
        <v>47</v>
      </c>
      <c r="B143" s="43" t="str">
        <f ca="1">Sk.W!$B$11</f>
        <v xml:space="preserve"> - </v>
      </c>
      <c r="C143" s="44" t="s">
        <v>117</v>
      </c>
      <c r="D143" s="43" t="str">
        <f ca="1">Sk.W!$E$11</f>
        <v xml:space="preserve"> </v>
      </c>
      <c r="E143" s="160"/>
      <c r="F143" s="160"/>
      <c r="G143" s="352">
        <f ca="1">INDIRECT(ADDRESS(5,A139,1,1,"Hřiště"))</f>
        <v>0</v>
      </c>
      <c r="H143" s="16"/>
      <c r="K143">
        <f ca="1">IF(TRIM(D143)="-",1,IF(AND(E143="",F143=""),0,IF(N(E143)&gt;N(F143),1,2)))</f>
        <v>0</v>
      </c>
    </row>
    <row r="144" spans="1:11" ht="18.899999999999999" thickBot="1">
      <c r="A144" s="56" t="s">
        <v>48</v>
      </c>
      <c r="B144" s="45" t="str">
        <f>Sk.W!$B$12</f>
        <v xml:space="preserve"> </v>
      </c>
      <c r="C144" s="44" t="s">
        <v>117</v>
      </c>
      <c r="D144" s="45" t="str">
        <f ca="1">Sk.W!$E$12</f>
        <v xml:space="preserve"> </v>
      </c>
      <c r="E144" s="161"/>
      <c r="F144" s="161"/>
      <c r="G144" s="353">
        <f ca="1">INDIRECT(ADDRESS(4,A139,1,1,"Hřiště"))</f>
        <v>0</v>
      </c>
      <c r="K144">
        <f ca="1">IF(TRIM(D144)="-",1,IF(AND(E144="",F144=""),0,IF(N(E144)&gt;N(F144),1,2)))</f>
        <v>0</v>
      </c>
    </row>
    <row r="145" spans="1:11" ht="21.45" thickBot="1">
      <c r="A145" s="52">
        <v>24</v>
      </c>
      <c r="B145" s="52"/>
      <c r="C145" s="57" t="s">
        <v>285</v>
      </c>
      <c r="D145" s="52"/>
      <c r="E145" s="245"/>
      <c r="F145" s="245"/>
      <c r="G145" s="53"/>
      <c r="H145" s="16"/>
    </row>
    <row r="146" spans="1:11" ht="18.45">
      <c r="A146" s="54" t="s">
        <v>114</v>
      </c>
      <c r="B146" s="41" t="str">
        <f ca="1">Sk.X!$B$8</f>
        <v xml:space="preserve"> - </v>
      </c>
      <c r="C146" s="42" t="s">
        <v>117</v>
      </c>
      <c r="D146" s="41" t="str">
        <f ca="1">Sk.X!$E$8</f>
        <v xml:space="preserve"> - </v>
      </c>
      <c r="E146" s="159"/>
      <c r="F146" s="159"/>
      <c r="G146" s="363">
        <f ca="1">INDIRECT(ADDRESS(4,A145,1,1,"Hřiště"))</f>
        <v>0</v>
      </c>
      <c r="H146" s="16"/>
      <c r="I146">
        <v>24</v>
      </c>
      <c r="J146">
        <f>ROW()</f>
        <v>146</v>
      </c>
      <c r="K146">
        <f ca="1">IF(TRIM(D146)="-",1,IF(AND(E146="",F146=""),0,IF(N(E146)&gt;N(F146),1,2)))</f>
        <v>1</v>
      </c>
    </row>
    <row r="147" spans="1:11" ht="18.45">
      <c r="A147" s="55" t="s">
        <v>115</v>
      </c>
      <c r="B147" s="43" t="str">
        <f ca="1">Sk.X!$B$9</f>
        <v xml:space="preserve"> - </v>
      </c>
      <c r="C147" s="44" t="s">
        <v>117</v>
      </c>
      <c r="D147" s="43" t="str">
        <f ca="1">Sk.X!$E$9</f>
        <v xml:space="preserve"> - </v>
      </c>
      <c r="E147" s="160"/>
      <c r="F147" s="160"/>
      <c r="G147" s="352">
        <f ca="1">INDIRECT(ADDRESS(5,A145,1,1,"Hřiště"))</f>
        <v>0</v>
      </c>
      <c r="H147" s="16"/>
      <c r="K147">
        <f ca="1">IF(TRIM(D147)="-",1,IF(AND(E147="",F147=""),0,IF(N(E147)&gt;N(F147),1,2)))</f>
        <v>1</v>
      </c>
    </row>
    <row r="148" spans="1:11" ht="18.45">
      <c r="A148" s="55" t="s">
        <v>46</v>
      </c>
      <c r="B148" s="43" t="str">
        <f ca="1">Sk.X!$B$10</f>
        <v xml:space="preserve"> - </v>
      </c>
      <c r="C148" s="44" t="s">
        <v>117</v>
      </c>
      <c r="D148" s="43" t="str">
        <f>Sk.X!$E$10</f>
        <v xml:space="preserve"> </v>
      </c>
      <c r="E148" s="160"/>
      <c r="F148" s="160"/>
      <c r="G148" s="352">
        <f ca="1">INDIRECT(ADDRESS(4,A145,1,1,"Hřiště"))</f>
        <v>0</v>
      </c>
      <c r="H148" s="16"/>
      <c r="K148">
        <f>IF(TRIM(D148)="-",1,IF(AND(E148="",F148=""),0,IF(N(E148)&gt;N(F148),1,2)))</f>
        <v>0</v>
      </c>
    </row>
    <row r="149" spans="1:11" ht="18.45">
      <c r="A149" s="55" t="s">
        <v>47</v>
      </c>
      <c r="B149" s="43" t="str">
        <f ca="1">Sk.X!$B$11</f>
        <v xml:space="preserve"> - </v>
      </c>
      <c r="C149" s="44" t="s">
        <v>117</v>
      </c>
      <c r="D149" s="43" t="str">
        <f ca="1">Sk.X!$E$11</f>
        <v xml:space="preserve"> </v>
      </c>
      <c r="E149" s="160"/>
      <c r="F149" s="160"/>
      <c r="G149" s="352">
        <f ca="1">INDIRECT(ADDRESS(5,A145,1,1,"Hřiště"))</f>
        <v>0</v>
      </c>
      <c r="H149" s="16"/>
      <c r="K149">
        <f ca="1">IF(TRIM(D149)="-",1,IF(AND(E149="",F149=""),0,IF(N(E149)&gt;N(F149),1,2)))</f>
        <v>0</v>
      </c>
    </row>
    <row r="150" spans="1:11" ht="18.899999999999999" thickBot="1">
      <c r="A150" s="56" t="s">
        <v>48</v>
      </c>
      <c r="B150" s="45" t="str">
        <f>Sk.X!$B$12</f>
        <v xml:space="preserve"> </v>
      </c>
      <c r="C150" s="44" t="s">
        <v>117</v>
      </c>
      <c r="D150" s="45" t="str">
        <f ca="1">Sk.X!$E$12</f>
        <v xml:space="preserve"> </v>
      </c>
      <c r="E150" s="161"/>
      <c r="F150" s="161"/>
      <c r="G150" s="353">
        <f ca="1">INDIRECT(ADDRESS(4,A145,1,1,"Hřiště"))</f>
        <v>0</v>
      </c>
      <c r="K150">
        <f ca="1">IF(TRIM(D150)="-",1,IF(AND(E150="",F150=""),0,IF(N(E150)&gt;N(F150),1,2)))</f>
        <v>0</v>
      </c>
    </row>
    <row r="151" spans="1:11" ht="21.45" thickBot="1">
      <c r="A151" s="52">
        <v>25</v>
      </c>
      <c r="B151" s="52"/>
      <c r="C151" s="57" t="s">
        <v>286</v>
      </c>
      <c r="D151" s="52"/>
      <c r="E151" s="245"/>
      <c r="F151" s="245"/>
      <c r="G151" s="53"/>
      <c r="H151" s="16"/>
    </row>
    <row r="152" spans="1:11" ht="18.45">
      <c r="A152" s="54" t="s">
        <v>114</v>
      </c>
      <c r="B152" s="41" t="str">
        <f ca="1">Sk.Y!$B$8</f>
        <v xml:space="preserve"> - </v>
      </c>
      <c r="C152" s="42" t="s">
        <v>117</v>
      </c>
      <c r="D152" s="41" t="str">
        <f ca="1">Sk.Y!$E$8</f>
        <v xml:space="preserve"> - </v>
      </c>
      <c r="E152" s="159"/>
      <c r="F152" s="159"/>
      <c r="G152" s="363">
        <f ca="1">INDIRECT(ADDRESS(4,A151,1,1,"Hřiště"))</f>
        <v>0</v>
      </c>
      <c r="H152" s="16"/>
      <c r="I152">
        <v>25</v>
      </c>
      <c r="J152">
        <f>ROW()</f>
        <v>152</v>
      </c>
      <c r="K152">
        <f ca="1">IF(TRIM(D152)="-",1,IF(AND(E152="",F152=""),0,IF(N(E152)&gt;N(F152),1,2)))</f>
        <v>1</v>
      </c>
    </row>
    <row r="153" spans="1:11" ht="18.45">
      <c r="A153" s="55" t="s">
        <v>115</v>
      </c>
      <c r="B153" s="43" t="str">
        <f ca="1">Sk.Y!$B$9</f>
        <v xml:space="preserve"> - </v>
      </c>
      <c r="C153" s="44" t="s">
        <v>117</v>
      </c>
      <c r="D153" s="43" t="str">
        <f ca="1">Sk.Y!$E$9</f>
        <v xml:space="preserve"> - </v>
      </c>
      <c r="E153" s="160"/>
      <c r="F153" s="160"/>
      <c r="G153" s="352">
        <f ca="1">INDIRECT(ADDRESS(5,A151,1,1,"Hřiště"))</f>
        <v>0</v>
      </c>
      <c r="H153" s="16"/>
      <c r="K153">
        <f ca="1">IF(TRIM(D153)="-",1,IF(AND(E153="",F153=""),0,IF(N(E153)&gt;N(F153),1,2)))</f>
        <v>1</v>
      </c>
    </row>
    <row r="154" spans="1:11" ht="18.45">
      <c r="A154" s="55" t="s">
        <v>46</v>
      </c>
      <c r="B154" s="43" t="str">
        <f ca="1">Sk.Y!$B$10</f>
        <v xml:space="preserve"> - </v>
      </c>
      <c r="C154" s="44" t="s">
        <v>117</v>
      </c>
      <c r="D154" s="43" t="str">
        <f>Sk.Y!$E$10</f>
        <v xml:space="preserve"> </v>
      </c>
      <c r="E154" s="160"/>
      <c r="F154" s="160"/>
      <c r="G154" s="352">
        <f ca="1">INDIRECT(ADDRESS(4,A151,1,1,"Hřiště"))</f>
        <v>0</v>
      </c>
      <c r="H154" s="16"/>
      <c r="K154">
        <f>IF(TRIM(D154)="-",1,IF(AND(E154="",F154=""),0,IF(N(E154)&gt;N(F154),1,2)))</f>
        <v>0</v>
      </c>
    </row>
    <row r="155" spans="1:11" ht="18.45">
      <c r="A155" s="55" t="s">
        <v>47</v>
      </c>
      <c r="B155" s="43" t="str">
        <f ca="1">Sk.Y!$B$11</f>
        <v xml:space="preserve"> - </v>
      </c>
      <c r="C155" s="44" t="s">
        <v>117</v>
      </c>
      <c r="D155" s="43" t="str">
        <f ca="1">Sk.Y!$E$11</f>
        <v xml:space="preserve"> </v>
      </c>
      <c r="E155" s="160"/>
      <c r="F155" s="160"/>
      <c r="G155" s="352">
        <f ca="1">INDIRECT(ADDRESS(5,A151,1,1,"Hřiště"))</f>
        <v>0</v>
      </c>
      <c r="H155" s="16"/>
      <c r="K155">
        <f ca="1">IF(TRIM(D155)="-",1,IF(AND(E155="",F155=""),0,IF(N(E155)&gt;N(F155),1,2)))</f>
        <v>0</v>
      </c>
    </row>
    <row r="156" spans="1:11" ht="18.899999999999999" thickBot="1">
      <c r="A156" s="56" t="s">
        <v>48</v>
      </c>
      <c r="B156" s="45" t="str">
        <f>Sk.Y!$B$12</f>
        <v xml:space="preserve"> </v>
      </c>
      <c r="C156" s="44" t="s">
        <v>117</v>
      </c>
      <c r="D156" s="45" t="str">
        <f ca="1">Sk.Y!$E$12</f>
        <v xml:space="preserve"> </v>
      </c>
      <c r="E156" s="161"/>
      <c r="F156" s="161"/>
      <c r="G156" s="353">
        <f ca="1">INDIRECT(ADDRESS(4,A151,1,1,"Hřiště"))</f>
        <v>0</v>
      </c>
      <c r="K156">
        <f ca="1">IF(TRIM(D156)="-",1,IF(AND(E156="",F156=""),0,IF(N(E156)&gt;N(F156),1,2)))</f>
        <v>0</v>
      </c>
    </row>
    <row r="157" spans="1:11" ht="21.45" thickBot="1">
      <c r="A157" s="52">
        <v>26</v>
      </c>
      <c r="B157" s="52"/>
      <c r="C157" s="57" t="s">
        <v>287</v>
      </c>
      <c r="D157" s="52"/>
      <c r="E157" s="245"/>
      <c r="F157" s="245"/>
      <c r="G157" s="53"/>
      <c r="H157" s="16"/>
    </row>
    <row r="158" spans="1:11" ht="18.45">
      <c r="A158" s="54" t="s">
        <v>114</v>
      </c>
      <c r="B158" s="41" t="str">
        <f ca="1">Sk.Z!$B$8</f>
        <v xml:space="preserve"> - </v>
      </c>
      <c r="C158" s="42" t="s">
        <v>117</v>
      </c>
      <c r="D158" s="41" t="str">
        <f ca="1">Sk.Z!$E$8</f>
        <v xml:space="preserve"> - </v>
      </c>
      <c r="E158" s="159"/>
      <c r="F158" s="159"/>
      <c r="G158" s="363">
        <f ca="1">INDIRECT(ADDRESS(4,A157,1,1,"Hřiště"))</f>
        <v>0</v>
      </c>
      <c r="H158" s="16"/>
      <c r="I158">
        <v>26</v>
      </c>
      <c r="J158">
        <f>ROW()</f>
        <v>158</v>
      </c>
      <c r="K158">
        <f ca="1">IF(TRIM(D158)="-",1,IF(AND(E158="",F158=""),0,IF(N(E158)&gt;N(F158),1,2)))</f>
        <v>1</v>
      </c>
    </row>
    <row r="159" spans="1:11" ht="18.45">
      <c r="A159" s="55" t="s">
        <v>115</v>
      </c>
      <c r="B159" s="43" t="str">
        <f ca="1">Sk.Z!$B$9</f>
        <v xml:space="preserve"> - </v>
      </c>
      <c r="C159" s="44" t="s">
        <v>117</v>
      </c>
      <c r="D159" s="43" t="str">
        <f ca="1">Sk.Z!$E$9</f>
        <v xml:space="preserve"> - </v>
      </c>
      <c r="E159" s="160"/>
      <c r="F159" s="160"/>
      <c r="G159" s="352">
        <f ca="1">INDIRECT(ADDRESS(5,A157,1,1,"Hřiště"))</f>
        <v>0</v>
      </c>
      <c r="H159" s="16"/>
      <c r="K159">
        <f ca="1">IF(TRIM(D159)="-",1,IF(AND(E159="",F159=""),0,IF(N(E159)&gt;N(F159),1,2)))</f>
        <v>1</v>
      </c>
    </row>
    <row r="160" spans="1:11" ht="18.45">
      <c r="A160" s="55" t="s">
        <v>46</v>
      </c>
      <c r="B160" s="43" t="str">
        <f ca="1">Sk.Z!$B$10</f>
        <v xml:space="preserve"> - </v>
      </c>
      <c r="C160" s="44" t="s">
        <v>117</v>
      </c>
      <c r="D160" s="43" t="str">
        <f>Sk.Z!$E$10</f>
        <v xml:space="preserve"> </v>
      </c>
      <c r="E160" s="160"/>
      <c r="F160" s="160"/>
      <c r="G160" s="352">
        <f ca="1">INDIRECT(ADDRESS(4,A157,1,1,"Hřiště"))</f>
        <v>0</v>
      </c>
      <c r="H160" s="16"/>
      <c r="K160">
        <f>IF(TRIM(D160)="-",1,IF(AND(E160="",F160=""),0,IF(N(E160)&gt;N(F160),1,2)))</f>
        <v>0</v>
      </c>
    </row>
    <row r="161" spans="1:11" ht="18.45">
      <c r="A161" s="55" t="s">
        <v>47</v>
      </c>
      <c r="B161" s="43" t="str">
        <f ca="1">Sk.Z!$B$11</f>
        <v xml:space="preserve"> - </v>
      </c>
      <c r="C161" s="44" t="s">
        <v>117</v>
      </c>
      <c r="D161" s="43" t="str">
        <f ca="1">Sk.Z!$E$11</f>
        <v xml:space="preserve"> </v>
      </c>
      <c r="E161" s="160"/>
      <c r="F161" s="160"/>
      <c r="G161" s="352">
        <f ca="1">INDIRECT(ADDRESS(5,A157,1,1,"Hřiště"))</f>
        <v>0</v>
      </c>
      <c r="H161" s="16"/>
      <c r="K161">
        <f ca="1">IF(TRIM(D161)="-",1,IF(AND(E161="",F161=""),0,IF(N(E161)&gt;N(F161),1,2)))</f>
        <v>0</v>
      </c>
    </row>
    <row r="162" spans="1:11" ht="18.899999999999999" thickBot="1">
      <c r="A162" s="56" t="s">
        <v>48</v>
      </c>
      <c r="B162" s="45" t="str">
        <f>Sk.Z!$B$12</f>
        <v xml:space="preserve"> </v>
      </c>
      <c r="C162" s="44" t="s">
        <v>117</v>
      </c>
      <c r="D162" s="45" t="str">
        <f ca="1">Sk.Z!$E$12</f>
        <v xml:space="preserve"> </v>
      </c>
      <c r="E162" s="161"/>
      <c r="F162" s="161"/>
      <c r="G162" s="353">
        <f ca="1">INDIRECT(ADDRESS(4,A157,1,1,"Hřiště"))</f>
        <v>0</v>
      </c>
      <c r="K162">
        <f ca="1">IF(TRIM(D162)="-",1,IF(AND(E162="",F162=""),0,IF(N(E162)&gt;N(F162),1,2)))</f>
        <v>0</v>
      </c>
    </row>
    <row r="163" spans="1:11" ht="21.45" thickBot="1">
      <c r="A163" s="52">
        <v>27</v>
      </c>
      <c r="B163" s="52"/>
      <c r="C163" s="57" t="s">
        <v>255</v>
      </c>
      <c r="D163" s="52"/>
      <c r="E163" s="245"/>
      <c r="F163" s="245"/>
      <c r="G163" s="53"/>
      <c r="H163" s="16"/>
    </row>
    <row r="164" spans="1:11" ht="18.45">
      <c r="A164" s="54" t="s">
        <v>114</v>
      </c>
      <c r="B164" s="41" t="str">
        <f ca="1">Sk.AA!$B$8</f>
        <v xml:space="preserve"> - </v>
      </c>
      <c r="C164" s="42" t="s">
        <v>117</v>
      </c>
      <c r="D164" s="41" t="str">
        <f ca="1">Sk.AA!$E$8</f>
        <v xml:space="preserve"> - </v>
      </c>
      <c r="E164" s="159"/>
      <c r="F164" s="159"/>
      <c r="G164" s="363">
        <f ca="1">INDIRECT(ADDRESS(4,A163,1,1,"Hřiště"))</f>
        <v>0</v>
      </c>
      <c r="H164" s="16"/>
      <c r="I164">
        <v>27</v>
      </c>
      <c r="J164">
        <f>ROW()</f>
        <v>164</v>
      </c>
      <c r="K164">
        <f ca="1">IF(TRIM(D164)="-",1,IF(AND(E164="",F164=""),0,IF(N(E164)&gt;N(F164),1,2)))</f>
        <v>1</v>
      </c>
    </row>
    <row r="165" spans="1:11" ht="18.45">
      <c r="A165" s="55" t="s">
        <v>115</v>
      </c>
      <c r="B165" s="43" t="str">
        <f ca="1">Sk.AA!$B$9</f>
        <v xml:space="preserve"> - </v>
      </c>
      <c r="C165" s="44" t="s">
        <v>117</v>
      </c>
      <c r="D165" s="43" t="str">
        <f ca="1">Sk.AA!$E$9</f>
        <v xml:space="preserve"> - </v>
      </c>
      <c r="E165" s="160"/>
      <c r="F165" s="160"/>
      <c r="G165" s="352">
        <f ca="1">INDIRECT(ADDRESS(5,A163,1,1,"Hřiště"))</f>
        <v>0</v>
      </c>
      <c r="H165" s="16"/>
      <c r="K165">
        <f ca="1">IF(TRIM(D165)="-",1,IF(AND(E165="",F165=""),0,IF(N(E165)&gt;N(F165),1,2)))</f>
        <v>1</v>
      </c>
    </row>
    <row r="166" spans="1:11" ht="18.45">
      <c r="A166" s="55" t="s">
        <v>46</v>
      </c>
      <c r="B166" s="43" t="str">
        <f ca="1">Sk.AA!$B$10</f>
        <v xml:space="preserve"> - </v>
      </c>
      <c r="C166" s="44" t="s">
        <v>117</v>
      </c>
      <c r="D166" s="43" t="str">
        <f>Sk.AA!$E$10</f>
        <v xml:space="preserve"> </v>
      </c>
      <c r="E166" s="160"/>
      <c r="F166" s="160"/>
      <c r="G166" s="352">
        <f ca="1">INDIRECT(ADDRESS(4,A163,1,1,"Hřiště"))</f>
        <v>0</v>
      </c>
      <c r="H166" s="16"/>
      <c r="K166">
        <f>IF(TRIM(D166)="-",1,IF(AND(E166="",F166=""),0,IF(N(E166)&gt;N(F166),1,2)))</f>
        <v>0</v>
      </c>
    </row>
    <row r="167" spans="1:11" ht="18.45">
      <c r="A167" s="55" t="s">
        <v>47</v>
      </c>
      <c r="B167" s="43" t="str">
        <f ca="1">Sk.AA!$B$11</f>
        <v xml:space="preserve"> - </v>
      </c>
      <c r="C167" s="44" t="s">
        <v>117</v>
      </c>
      <c r="D167" s="43" t="str">
        <f ca="1">Sk.AA!$E$11</f>
        <v xml:space="preserve"> </v>
      </c>
      <c r="E167" s="160"/>
      <c r="F167" s="160"/>
      <c r="G167" s="352">
        <f ca="1">INDIRECT(ADDRESS(5,A163,1,1,"Hřiště"))</f>
        <v>0</v>
      </c>
      <c r="H167" s="16"/>
      <c r="K167">
        <f ca="1">IF(TRIM(D167)="-",1,IF(AND(E167="",F167=""),0,IF(N(E167)&gt;N(F167),1,2)))</f>
        <v>0</v>
      </c>
    </row>
    <row r="168" spans="1:11" ht="18.899999999999999" thickBot="1">
      <c r="A168" s="56" t="s">
        <v>48</v>
      </c>
      <c r="B168" s="45" t="str">
        <f>Sk.AA!$B$12</f>
        <v xml:space="preserve"> </v>
      </c>
      <c r="C168" s="44" t="s">
        <v>117</v>
      </c>
      <c r="D168" s="45" t="str">
        <f ca="1">Sk.AA!$E$12</f>
        <v xml:space="preserve"> </v>
      </c>
      <c r="E168" s="161"/>
      <c r="F168" s="161"/>
      <c r="G168" s="353">
        <f ca="1">INDIRECT(ADDRESS(4,A163,1,1,"Hřiště"))</f>
        <v>0</v>
      </c>
      <c r="K168">
        <f ca="1">IF(TRIM(D168)="-",1,IF(AND(E168="",F168=""),0,IF(N(E168)&gt;N(F168),1,2)))</f>
        <v>0</v>
      </c>
    </row>
    <row r="169" spans="1:11" ht="21.45" thickBot="1">
      <c r="A169" s="52">
        <v>28</v>
      </c>
      <c r="B169" s="52"/>
      <c r="C169" s="57" t="s">
        <v>256</v>
      </c>
      <c r="D169" s="52"/>
      <c r="E169" s="245"/>
      <c r="F169" s="245"/>
      <c r="G169" s="53"/>
      <c r="H169" s="16"/>
    </row>
    <row r="170" spans="1:11" ht="18.45">
      <c r="A170" s="54" t="s">
        <v>114</v>
      </c>
      <c r="B170" s="41" t="str">
        <f ca="1">Sk.AB!$B$8</f>
        <v xml:space="preserve"> - </v>
      </c>
      <c r="C170" s="42" t="s">
        <v>117</v>
      </c>
      <c r="D170" s="41" t="str">
        <f ca="1">Sk.AB!$E$8</f>
        <v xml:space="preserve"> - </v>
      </c>
      <c r="E170" s="159"/>
      <c r="F170" s="159"/>
      <c r="G170" s="363">
        <f ca="1">INDIRECT(ADDRESS(4,A169,1,1,"Hřiště"))</f>
        <v>0</v>
      </c>
      <c r="H170" s="16"/>
      <c r="I170">
        <v>28</v>
      </c>
      <c r="J170">
        <f>ROW()</f>
        <v>170</v>
      </c>
      <c r="K170">
        <f ca="1">IF(TRIM(D170)="-",1,IF(AND(E170="",F170=""),0,IF(N(E170)&gt;N(F170),1,2)))</f>
        <v>1</v>
      </c>
    </row>
    <row r="171" spans="1:11" ht="18.45">
      <c r="A171" s="55" t="s">
        <v>115</v>
      </c>
      <c r="B171" s="43" t="str">
        <f ca="1">Sk.AB!$B$9</f>
        <v xml:space="preserve"> - </v>
      </c>
      <c r="C171" s="44" t="s">
        <v>117</v>
      </c>
      <c r="D171" s="43" t="str">
        <f ca="1">Sk.AB!$E$9</f>
        <v xml:space="preserve"> - </v>
      </c>
      <c r="E171" s="160"/>
      <c r="F171" s="160"/>
      <c r="G171" s="352">
        <f ca="1">INDIRECT(ADDRESS(5,A169,1,1,"Hřiště"))</f>
        <v>0</v>
      </c>
      <c r="H171" s="16"/>
      <c r="K171">
        <f ca="1">IF(TRIM(D171)="-",1,IF(AND(E171="",F171=""),0,IF(N(E171)&gt;N(F171),1,2)))</f>
        <v>1</v>
      </c>
    </row>
    <row r="172" spans="1:11" ht="18.45">
      <c r="A172" s="55" t="s">
        <v>46</v>
      </c>
      <c r="B172" s="43" t="str">
        <f ca="1">Sk.AB!$B$10</f>
        <v xml:space="preserve"> - </v>
      </c>
      <c r="C172" s="44" t="s">
        <v>117</v>
      </c>
      <c r="D172" s="43" t="str">
        <f>Sk.AB!$E$10</f>
        <v xml:space="preserve"> </v>
      </c>
      <c r="E172" s="160"/>
      <c r="F172" s="160"/>
      <c r="G172" s="352">
        <f ca="1">INDIRECT(ADDRESS(4,A169,1,1,"Hřiště"))</f>
        <v>0</v>
      </c>
      <c r="H172" s="16"/>
      <c r="K172">
        <f>IF(TRIM(D172)="-",1,IF(AND(E172="",F172=""),0,IF(N(E172)&gt;N(F172),1,2)))</f>
        <v>0</v>
      </c>
    </row>
    <row r="173" spans="1:11" ht="18.45">
      <c r="A173" s="55" t="s">
        <v>47</v>
      </c>
      <c r="B173" s="43" t="str">
        <f ca="1">Sk.AB!$B$11</f>
        <v xml:space="preserve"> - </v>
      </c>
      <c r="C173" s="44" t="s">
        <v>117</v>
      </c>
      <c r="D173" s="43" t="str">
        <f ca="1">Sk.AB!$E$11</f>
        <v xml:space="preserve"> </v>
      </c>
      <c r="E173" s="160"/>
      <c r="F173" s="160"/>
      <c r="G173" s="352">
        <f ca="1">INDIRECT(ADDRESS(5,A169,1,1,"Hřiště"))</f>
        <v>0</v>
      </c>
      <c r="H173" s="16"/>
      <c r="K173">
        <f ca="1">IF(TRIM(D173)="-",1,IF(AND(E173="",F173=""),0,IF(N(E173)&gt;N(F173),1,2)))</f>
        <v>0</v>
      </c>
    </row>
    <row r="174" spans="1:11" ht="18.899999999999999" thickBot="1">
      <c r="A174" s="56" t="s">
        <v>48</v>
      </c>
      <c r="B174" s="45" t="str">
        <f>Sk.AB!$B$12</f>
        <v xml:space="preserve"> </v>
      </c>
      <c r="C174" s="44" t="s">
        <v>117</v>
      </c>
      <c r="D174" s="45" t="str">
        <f ca="1">Sk.AB!$E$12</f>
        <v xml:space="preserve"> </v>
      </c>
      <c r="E174" s="161"/>
      <c r="F174" s="161"/>
      <c r="G174" s="353">
        <f ca="1">INDIRECT(ADDRESS(4,A169,1,1,"Hřiště"))</f>
        <v>0</v>
      </c>
      <c r="K174">
        <f ca="1">IF(TRIM(D174)="-",1,IF(AND(E174="",F174=""),0,IF(N(E174)&gt;N(F174),1,2)))</f>
        <v>0</v>
      </c>
    </row>
    <row r="175" spans="1:11" ht="21.45" thickBot="1">
      <c r="A175" s="52">
        <v>29</v>
      </c>
      <c r="B175" s="52"/>
      <c r="C175" s="57" t="s">
        <v>257</v>
      </c>
      <c r="D175" s="52"/>
      <c r="E175" s="245"/>
      <c r="F175" s="245"/>
      <c r="G175" s="53"/>
      <c r="H175" s="16"/>
    </row>
    <row r="176" spans="1:11" ht="18.45">
      <c r="A176" s="54" t="s">
        <v>114</v>
      </c>
      <c r="B176" s="41" t="str">
        <f ca="1">Sk.AC!$B$8</f>
        <v xml:space="preserve"> - </v>
      </c>
      <c r="C176" s="42" t="s">
        <v>117</v>
      </c>
      <c r="D176" s="41" t="str">
        <f ca="1">Sk.AC!$E$8</f>
        <v xml:space="preserve"> - </v>
      </c>
      <c r="E176" s="159"/>
      <c r="F176" s="159"/>
      <c r="G176" s="363">
        <f ca="1">INDIRECT(ADDRESS(4,A175,1,1,"Hřiště"))</f>
        <v>0</v>
      </c>
      <c r="H176" s="16"/>
      <c r="I176">
        <v>29</v>
      </c>
      <c r="J176">
        <f>ROW()</f>
        <v>176</v>
      </c>
      <c r="K176">
        <f ca="1">IF(TRIM(D176)="-",1,IF(AND(E176="",F176=""),0,IF(N(E176)&gt;N(F176),1,2)))</f>
        <v>1</v>
      </c>
    </row>
    <row r="177" spans="1:11" ht="18.45">
      <c r="A177" s="55" t="s">
        <v>115</v>
      </c>
      <c r="B177" s="43" t="str">
        <f ca="1">Sk.AC!$B$9</f>
        <v xml:space="preserve"> - </v>
      </c>
      <c r="C177" s="44" t="s">
        <v>117</v>
      </c>
      <c r="D177" s="43" t="str">
        <f ca="1">Sk.AC!$E$9</f>
        <v xml:space="preserve"> - </v>
      </c>
      <c r="E177" s="160"/>
      <c r="F177" s="160"/>
      <c r="G177" s="352">
        <f ca="1">INDIRECT(ADDRESS(5,A175,1,1,"Hřiště"))</f>
        <v>0</v>
      </c>
      <c r="H177" s="16"/>
      <c r="K177">
        <f ca="1">IF(TRIM(D177)="-",1,IF(AND(E177="",F177=""),0,IF(N(E177)&gt;N(F177),1,2)))</f>
        <v>1</v>
      </c>
    </row>
    <row r="178" spans="1:11" ht="18.45">
      <c r="A178" s="55" t="s">
        <v>46</v>
      </c>
      <c r="B178" s="43" t="str">
        <f ca="1">Sk.AC!$B$10</f>
        <v xml:space="preserve"> - </v>
      </c>
      <c r="C178" s="44" t="s">
        <v>117</v>
      </c>
      <c r="D178" s="43" t="str">
        <f>Sk.AC!$E$10</f>
        <v xml:space="preserve"> </v>
      </c>
      <c r="E178" s="160"/>
      <c r="F178" s="160"/>
      <c r="G178" s="352">
        <f ca="1">INDIRECT(ADDRESS(4,A175,1,1,"Hřiště"))</f>
        <v>0</v>
      </c>
      <c r="H178" s="16"/>
      <c r="K178">
        <f>IF(TRIM(D178)="-",1,IF(AND(E178="",F178=""),0,IF(N(E178)&gt;N(F178),1,2)))</f>
        <v>0</v>
      </c>
    </row>
    <row r="179" spans="1:11" ht="18.45">
      <c r="A179" s="55" t="s">
        <v>47</v>
      </c>
      <c r="B179" s="43" t="str">
        <f ca="1">Sk.AC!$B$11</f>
        <v xml:space="preserve"> - </v>
      </c>
      <c r="C179" s="44" t="s">
        <v>117</v>
      </c>
      <c r="D179" s="43" t="str">
        <f ca="1">Sk.AC!$E$11</f>
        <v xml:space="preserve"> </v>
      </c>
      <c r="E179" s="160"/>
      <c r="F179" s="160"/>
      <c r="G179" s="352">
        <f ca="1">INDIRECT(ADDRESS(5,A175,1,1,"Hřiště"))</f>
        <v>0</v>
      </c>
      <c r="H179" s="16"/>
      <c r="K179">
        <f ca="1">IF(TRIM(D179)="-",1,IF(AND(E179="",F179=""),0,IF(N(E179)&gt;N(F179),1,2)))</f>
        <v>0</v>
      </c>
    </row>
    <row r="180" spans="1:11" ht="18.899999999999999" thickBot="1">
      <c r="A180" s="56" t="s">
        <v>48</v>
      </c>
      <c r="B180" s="45" t="str">
        <f>Sk.AC!$B$12</f>
        <v xml:space="preserve"> </v>
      </c>
      <c r="C180" s="44" t="s">
        <v>117</v>
      </c>
      <c r="D180" s="45" t="str">
        <f ca="1">Sk.AC!$E$12</f>
        <v xml:space="preserve"> </v>
      </c>
      <c r="E180" s="161"/>
      <c r="F180" s="161"/>
      <c r="G180" s="353">
        <f ca="1">INDIRECT(ADDRESS(4,A175,1,1,"Hřiště"))</f>
        <v>0</v>
      </c>
      <c r="K180">
        <f ca="1">IF(TRIM(D180)="-",1,IF(AND(E180="",F180=""),0,IF(N(E180)&gt;N(F180),1,2)))</f>
        <v>0</v>
      </c>
    </row>
    <row r="181" spans="1:11" ht="21.45" thickBot="1">
      <c r="A181" s="52">
        <v>30</v>
      </c>
      <c r="B181" s="52"/>
      <c r="C181" s="57" t="s">
        <v>258</v>
      </c>
      <c r="D181" s="52"/>
      <c r="E181" s="245"/>
      <c r="F181" s="245"/>
      <c r="G181" s="53"/>
      <c r="H181" s="16"/>
    </row>
    <row r="182" spans="1:11" ht="18.45">
      <c r="A182" s="54" t="s">
        <v>114</v>
      </c>
      <c r="B182" s="41" t="str">
        <f ca="1">Sk.AD!$B$8</f>
        <v xml:space="preserve"> - </v>
      </c>
      <c r="C182" s="42" t="s">
        <v>117</v>
      </c>
      <c r="D182" s="41" t="str">
        <f ca="1">Sk.AD!$E$8</f>
        <v xml:space="preserve"> - </v>
      </c>
      <c r="E182" s="159"/>
      <c r="F182" s="159"/>
      <c r="G182" s="363">
        <f ca="1">INDIRECT(ADDRESS(4,A181,1,1,"Hřiště"))</f>
        <v>0</v>
      </c>
      <c r="H182" s="16"/>
      <c r="I182">
        <v>30</v>
      </c>
      <c r="J182">
        <f>ROW()</f>
        <v>182</v>
      </c>
      <c r="K182">
        <f ca="1">IF(TRIM(D182)="-",1,IF(AND(E182="",F182=""),0,IF(N(E182)&gt;N(F182),1,2)))</f>
        <v>1</v>
      </c>
    </row>
    <row r="183" spans="1:11" ht="18.45">
      <c r="A183" s="55" t="s">
        <v>115</v>
      </c>
      <c r="B183" s="43" t="str">
        <f ca="1">Sk.AD!$B$9</f>
        <v xml:space="preserve"> - </v>
      </c>
      <c r="C183" s="44" t="s">
        <v>117</v>
      </c>
      <c r="D183" s="43" t="str">
        <f ca="1">Sk.AD!$E$9</f>
        <v xml:space="preserve"> - </v>
      </c>
      <c r="E183" s="160"/>
      <c r="F183" s="160"/>
      <c r="G183" s="352">
        <f ca="1">INDIRECT(ADDRESS(5,A181,1,1,"Hřiště"))</f>
        <v>0</v>
      </c>
      <c r="H183" s="16"/>
      <c r="K183">
        <f ca="1">IF(TRIM(D183)="-",1,IF(AND(E183="",F183=""),0,IF(N(E183)&gt;N(F183),1,2)))</f>
        <v>1</v>
      </c>
    </row>
    <row r="184" spans="1:11" ht="18.45">
      <c r="A184" s="55" t="s">
        <v>46</v>
      </c>
      <c r="B184" s="43" t="str">
        <f ca="1">Sk.AD!$B$10</f>
        <v xml:space="preserve"> - </v>
      </c>
      <c r="C184" s="44" t="s">
        <v>117</v>
      </c>
      <c r="D184" s="43" t="str">
        <f>Sk.AD!$E$10</f>
        <v xml:space="preserve"> </v>
      </c>
      <c r="E184" s="160"/>
      <c r="F184" s="160"/>
      <c r="G184" s="352">
        <f ca="1">INDIRECT(ADDRESS(4,A181,1,1,"Hřiště"))</f>
        <v>0</v>
      </c>
      <c r="H184" s="16"/>
      <c r="K184">
        <f>IF(TRIM(D184)="-",1,IF(AND(E184="",F184=""),0,IF(N(E184)&gt;N(F184),1,2)))</f>
        <v>0</v>
      </c>
    </row>
    <row r="185" spans="1:11" ht="18.45">
      <c r="A185" s="55" t="s">
        <v>47</v>
      </c>
      <c r="B185" s="43" t="str">
        <f ca="1">Sk.AD!$B$11</f>
        <v xml:space="preserve"> - </v>
      </c>
      <c r="C185" s="44" t="s">
        <v>117</v>
      </c>
      <c r="D185" s="43" t="str">
        <f ca="1">Sk.AD!$E$11</f>
        <v xml:space="preserve"> </v>
      </c>
      <c r="E185" s="160"/>
      <c r="F185" s="160"/>
      <c r="G185" s="352">
        <f ca="1">INDIRECT(ADDRESS(5,A181,1,1,"Hřiště"))</f>
        <v>0</v>
      </c>
      <c r="H185" s="16"/>
      <c r="K185">
        <f ca="1">IF(TRIM(D185)="-",1,IF(AND(E185="",F185=""),0,IF(N(E185)&gt;N(F185),1,2)))</f>
        <v>0</v>
      </c>
    </row>
    <row r="186" spans="1:11" ht="18.899999999999999" thickBot="1">
      <c r="A186" s="56" t="s">
        <v>48</v>
      </c>
      <c r="B186" s="45" t="str">
        <f>Sk.AD!$B$12</f>
        <v xml:space="preserve"> </v>
      </c>
      <c r="C186" s="44" t="s">
        <v>117</v>
      </c>
      <c r="D186" s="45" t="str">
        <f ca="1">Sk.AD!$E$12</f>
        <v xml:space="preserve"> </v>
      </c>
      <c r="E186" s="161"/>
      <c r="F186" s="161"/>
      <c r="G186" s="353">
        <f ca="1">INDIRECT(ADDRESS(4,A181,1,1,"Hřiště"))</f>
        <v>0</v>
      </c>
      <c r="K186">
        <f ca="1">IF(TRIM(D186)="-",1,IF(AND(E186="",F186=""),0,IF(N(E186)&gt;N(F186),1,2)))</f>
        <v>0</v>
      </c>
    </row>
    <row r="187" spans="1:11" ht="21.45" thickBot="1">
      <c r="A187" s="52">
        <v>31</v>
      </c>
      <c r="B187" s="52"/>
      <c r="C187" s="57" t="s">
        <v>288</v>
      </c>
      <c r="D187" s="52"/>
      <c r="E187" s="245"/>
      <c r="F187" s="245"/>
      <c r="G187" s="53"/>
      <c r="H187" s="16"/>
    </row>
    <row r="188" spans="1:11" ht="18.45">
      <c r="A188" s="54" t="s">
        <v>114</v>
      </c>
      <c r="B188" s="41" t="str">
        <f ca="1">Sk.AE!$B$8</f>
        <v xml:space="preserve"> - </v>
      </c>
      <c r="C188" s="42" t="s">
        <v>117</v>
      </c>
      <c r="D188" s="41" t="str">
        <f ca="1">Sk.AE!$E$8</f>
        <v xml:space="preserve"> - </v>
      </c>
      <c r="E188" s="159"/>
      <c r="F188" s="159"/>
      <c r="G188" s="363">
        <f ca="1">INDIRECT(ADDRESS(4,A187,1,1,"Hřiště"))</f>
        <v>0</v>
      </c>
      <c r="H188" s="16"/>
      <c r="I188">
        <v>31</v>
      </c>
      <c r="J188">
        <f>ROW()</f>
        <v>188</v>
      </c>
      <c r="K188">
        <f ca="1">IF(TRIM(D188)="-",1,IF(AND(E188="",F188=""),0,IF(N(E188)&gt;N(F188),1,2)))</f>
        <v>1</v>
      </c>
    </row>
    <row r="189" spans="1:11" ht="18.45">
      <c r="A189" s="55" t="s">
        <v>115</v>
      </c>
      <c r="B189" s="43" t="str">
        <f ca="1">Sk.AE!$B$9</f>
        <v xml:space="preserve"> - </v>
      </c>
      <c r="C189" s="44" t="s">
        <v>117</v>
      </c>
      <c r="D189" s="43" t="str">
        <f ca="1">Sk.AE!$E$9</f>
        <v xml:space="preserve"> - </v>
      </c>
      <c r="E189" s="160"/>
      <c r="F189" s="160"/>
      <c r="G189" s="352">
        <f ca="1">INDIRECT(ADDRESS(5,A187,1,1,"Hřiště"))</f>
        <v>0</v>
      </c>
      <c r="H189" s="16"/>
      <c r="K189">
        <f ca="1">IF(TRIM(D189)="-",1,IF(AND(E189="",F189=""),0,IF(N(E189)&gt;N(F189),1,2)))</f>
        <v>1</v>
      </c>
    </row>
    <row r="190" spans="1:11" ht="18.45">
      <c r="A190" s="55" t="s">
        <v>46</v>
      </c>
      <c r="B190" s="43" t="str">
        <f ca="1">Sk.AE!$B$10</f>
        <v xml:space="preserve"> - </v>
      </c>
      <c r="C190" s="44" t="s">
        <v>117</v>
      </c>
      <c r="D190" s="43" t="str">
        <f>Sk.AE!$E$10</f>
        <v xml:space="preserve"> </v>
      </c>
      <c r="E190" s="160"/>
      <c r="F190" s="160"/>
      <c r="G190" s="352">
        <f ca="1">INDIRECT(ADDRESS(4,A187,1,1,"Hřiště"))</f>
        <v>0</v>
      </c>
      <c r="H190" s="16"/>
      <c r="K190">
        <f>IF(TRIM(D190)="-",1,IF(AND(E190="",F190=""),0,IF(N(E190)&gt;N(F190),1,2)))</f>
        <v>0</v>
      </c>
    </row>
    <row r="191" spans="1:11" ht="18.45">
      <c r="A191" s="55" t="s">
        <v>47</v>
      </c>
      <c r="B191" s="43" t="str">
        <f ca="1">Sk.AE!$B$11</f>
        <v xml:space="preserve"> - </v>
      </c>
      <c r="C191" s="44" t="s">
        <v>117</v>
      </c>
      <c r="D191" s="43" t="str">
        <f ca="1">Sk.AE!$E$11</f>
        <v xml:space="preserve"> </v>
      </c>
      <c r="E191" s="160"/>
      <c r="F191" s="160"/>
      <c r="G191" s="352">
        <f ca="1">INDIRECT(ADDRESS(5,A187,1,1,"Hřiště"))</f>
        <v>0</v>
      </c>
      <c r="H191" s="16"/>
      <c r="K191">
        <f ca="1">IF(TRIM(D191)="-",1,IF(AND(E191="",F191=""),0,IF(N(E191)&gt;N(F191),1,2)))</f>
        <v>0</v>
      </c>
    </row>
    <row r="192" spans="1:11" ht="18.899999999999999" thickBot="1">
      <c r="A192" s="56" t="s">
        <v>48</v>
      </c>
      <c r="B192" s="45" t="str">
        <f>Sk.AE!$B$12</f>
        <v xml:space="preserve"> </v>
      </c>
      <c r="C192" s="44" t="s">
        <v>117</v>
      </c>
      <c r="D192" s="45" t="str">
        <f ca="1">Sk.AE!$E$12</f>
        <v xml:space="preserve"> </v>
      </c>
      <c r="E192" s="161"/>
      <c r="F192" s="161"/>
      <c r="G192" s="353">
        <f ca="1">INDIRECT(ADDRESS(4,A187,1,1,"Hřiště"))</f>
        <v>0</v>
      </c>
      <c r="K192">
        <f ca="1">IF(TRIM(D192)="-",1,IF(AND(E192="",F192=""),0,IF(N(E192)&gt;N(F192),1,2)))</f>
        <v>0</v>
      </c>
    </row>
    <row r="193" spans="1:11" ht="21.45" thickBot="1">
      <c r="A193" s="52">
        <v>32</v>
      </c>
      <c r="B193" s="52"/>
      <c r="C193" s="57" t="s">
        <v>289</v>
      </c>
      <c r="D193" s="52"/>
      <c r="E193" s="245"/>
      <c r="F193" s="245"/>
      <c r="G193" s="53"/>
      <c r="H193" s="16"/>
    </row>
    <row r="194" spans="1:11" ht="18.45">
      <c r="A194" s="54" t="s">
        <v>114</v>
      </c>
      <c r="B194" s="41" t="str">
        <f ca="1">Sk.AF!$B$8</f>
        <v xml:space="preserve"> - </v>
      </c>
      <c r="C194" s="42" t="s">
        <v>117</v>
      </c>
      <c r="D194" s="41" t="str">
        <f ca="1">Sk.AF!$E$8</f>
        <v xml:space="preserve"> - </v>
      </c>
      <c r="E194" s="159"/>
      <c r="F194" s="159"/>
      <c r="G194" s="363">
        <f ca="1">INDIRECT(ADDRESS(4,A193,1,1,"Hřiště"))</f>
        <v>0</v>
      </c>
      <c r="H194" s="16"/>
      <c r="I194">
        <v>32</v>
      </c>
      <c r="J194">
        <f>ROW()</f>
        <v>194</v>
      </c>
      <c r="K194">
        <f ca="1">IF(TRIM(D194)="-",1,IF(AND(E194="",F194=""),0,IF(N(E194)&gt;N(F194),1,2)))</f>
        <v>1</v>
      </c>
    </row>
    <row r="195" spans="1:11" ht="18.45">
      <c r="A195" s="55" t="s">
        <v>115</v>
      </c>
      <c r="B195" s="43" t="str">
        <f ca="1">Sk.AF!$B$9</f>
        <v xml:space="preserve"> - </v>
      </c>
      <c r="C195" s="44" t="s">
        <v>117</v>
      </c>
      <c r="D195" s="43" t="str">
        <f ca="1">Sk.AF!$E$9</f>
        <v xml:space="preserve"> - </v>
      </c>
      <c r="E195" s="160"/>
      <c r="F195" s="160"/>
      <c r="G195" s="352">
        <f ca="1">INDIRECT(ADDRESS(5,A193,1,1,"Hřiště"))</f>
        <v>0</v>
      </c>
      <c r="H195" s="16"/>
      <c r="K195">
        <f ca="1">IF(TRIM(D195)="-",1,IF(AND(E195="",F195=""),0,IF(N(E195)&gt;N(F195),1,2)))</f>
        <v>1</v>
      </c>
    </row>
    <row r="196" spans="1:11" ht="18.45">
      <c r="A196" s="55" t="s">
        <v>46</v>
      </c>
      <c r="B196" s="43" t="str">
        <f ca="1">Sk.AF!$B$10</f>
        <v xml:space="preserve"> - </v>
      </c>
      <c r="C196" s="44" t="s">
        <v>117</v>
      </c>
      <c r="D196" s="43" t="str">
        <f>Sk.AF!$E$10</f>
        <v xml:space="preserve"> </v>
      </c>
      <c r="E196" s="160"/>
      <c r="F196" s="160"/>
      <c r="G196" s="352">
        <f ca="1">INDIRECT(ADDRESS(4,A193,1,1,"Hřiště"))</f>
        <v>0</v>
      </c>
      <c r="H196" s="16"/>
      <c r="K196">
        <f>IF(TRIM(D196)="-",1,IF(AND(E196="",F196=""),0,IF(N(E196)&gt;N(F196),1,2)))</f>
        <v>0</v>
      </c>
    </row>
    <row r="197" spans="1:11" ht="18.45">
      <c r="A197" s="55" t="s">
        <v>47</v>
      </c>
      <c r="B197" s="43" t="str">
        <f ca="1">Sk.AF!$B$11</f>
        <v xml:space="preserve"> - </v>
      </c>
      <c r="C197" s="44" t="s">
        <v>117</v>
      </c>
      <c r="D197" s="43" t="str">
        <f ca="1">Sk.AF!$E$11</f>
        <v xml:space="preserve"> </v>
      </c>
      <c r="E197" s="160"/>
      <c r="F197" s="160"/>
      <c r="G197" s="352">
        <f ca="1">INDIRECT(ADDRESS(5,A193,1,1,"Hřiště"))</f>
        <v>0</v>
      </c>
      <c r="H197" s="16"/>
      <c r="K197">
        <f ca="1">IF(TRIM(D197)="-",1,IF(AND(E197="",F197=""),0,IF(N(E197)&gt;N(F197),1,2)))</f>
        <v>0</v>
      </c>
    </row>
    <row r="198" spans="1:11" ht="18.899999999999999" thickBot="1">
      <c r="A198" s="56" t="s">
        <v>48</v>
      </c>
      <c r="B198" s="45" t="str">
        <f>Sk.AF!$B$12</f>
        <v xml:space="preserve"> </v>
      </c>
      <c r="C198" s="44" t="s">
        <v>117</v>
      </c>
      <c r="D198" s="45" t="str">
        <f ca="1">Sk.AF!$E$12</f>
        <v xml:space="preserve"> </v>
      </c>
      <c r="E198" s="161"/>
      <c r="F198" s="161"/>
      <c r="G198" s="353">
        <f ca="1">INDIRECT(ADDRESS(4,A193,1,1,"Hřiště"))</f>
        <v>0</v>
      </c>
      <c r="K198">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
  <cols>
    <col min="2" max="2" width="43" customWidth="1"/>
    <col min="3" max="3" width="2.83203125" hidden="1" customWidth="1"/>
    <col min="4" max="4" width="43" hidden="1" customWidth="1"/>
  </cols>
  <sheetData>
    <row r="1" spans="1:4" ht="22.2" customHeight="1">
      <c r="A1" s="64" t="s">
        <v>293</v>
      </c>
      <c r="B1" s="64"/>
    </row>
    <row r="2" spans="1:4" ht="42.65" customHeight="1">
      <c r="A2" s="10" t="s">
        <v>130</v>
      </c>
      <c r="B2" s="10" t="s">
        <v>121</v>
      </c>
      <c r="C2" s="10"/>
      <c r="D2" s="10" t="s">
        <v>122</v>
      </c>
    </row>
    <row r="3" spans="1:4">
      <c r="A3" t="str">
        <f t="shared" ref="A3:A66" ca="1" si="0">IF(TRIM(D3)="-","",C3)</f>
        <v>A1</v>
      </c>
      <c r="B3" t="str">
        <f t="shared" ref="B3:B18" ca="1" si="1">IF(TYPE(D3)&gt;4," - ",IF(OR(TRIM(D3)="",TRIM(D3)="-"),"",D3))</f>
        <v>1 Carreau Brno - Michálek Tomáš</v>
      </c>
      <c r="C3" t="str">
        <f>Sk.A!$C$14</f>
        <v>A1</v>
      </c>
      <c r="D3" t="str">
        <f ca="1">Sk.A!$B$14</f>
        <v>1 Carreau Brno - Michálek Tomáš</v>
      </c>
    </row>
    <row r="4" spans="1:4">
      <c r="A4" t="str">
        <f t="shared" ca="1" si="0"/>
        <v>A2</v>
      </c>
      <c r="B4" t="str">
        <f t="shared" ca="1" si="1"/>
        <v>33 HRODE KRUMSÍN - Ptáčková Eliška</v>
      </c>
      <c r="C4" t="str">
        <f>Sk.A!$C$15</f>
        <v>A2</v>
      </c>
      <c r="D4" t="str">
        <f ca="1">Sk.A!$B$15</f>
        <v>33 HRODE KRUMSÍN - Ptáčková Eliška</v>
      </c>
    </row>
    <row r="5" spans="1:4">
      <c r="A5" t="str">
        <f t="shared" ca="1" si="0"/>
        <v>A3</v>
      </c>
      <c r="B5" t="str">
        <f t="shared" ca="1" si="1"/>
        <v>32 Petank Club Praha - Maňák Jan</v>
      </c>
      <c r="C5" t="str">
        <f>Sk.A!$C$16</f>
        <v>A3</v>
      </c>
      <c r="D5" t="str">
        <f ca="1">Sk.A!$B$16</f>
        <v>32 Petank Club Praha - Maňák Jan</v>
      </c>
    </row>
    <row r="6" spans="1:4">
      <c r="A6" t="str">
        <f t="shared" ca="1" si="0"/>
        <v/>
      </c>
      <c r="B6" t="str">
        <f t="shared" ca="1" si="1"/>
        <v/>
      </c>
      <c r="C6" t="str">
        <f>Sk.A!$C$17</f>
        <v>A4</v>
      </c>
      <c r="D6" t="str">
        <f ca="1">Sk.A!$B$17</f>
        <v xml:space="preserve"> - </v>
      </c>
    </row>
    <row r="7" spans="1:4">
      <c r="A7" t="str">
        <f t="shared" ca="1" si="0"/>
        <v>B1</v>
      </c>
      <c r="B7" t="str">
        <f t="shared" ca="1" si="1"/>
        <v>2 PC Sokol Lipník - Froňková Kateřina</v>
      </c>
      <c r="C7" t="str">
        <f>Sk.B!$C$14</f>
        <v>B1</v>
      </c>
      <c r="D7" t="str">
        <f ca="1">Sk.B!$B$14</f>
        <v>2 PC Sokol Lipník - Froňková Kateřina</v>
      </c>
    </row>
    <row r="8" spans="1:4">
      <c r="A8" t="str">
        <f t="shared" ca="1" si="0"/>
        <v>B2</v>
      </c>
      <c r="B8" t="str">
        <f t="shared" ca="1" si="1"/>
        <v>31 PC Mimo Done - Šídlová Lucie</v>
      </c>
      <c r="C8" t="str">
        <f>Sk.B!$C$15</f>
        <v>B2</v>
      </c>
      <c r="D8" t="str">
        <f ca="1">Sk.B!$B$15</f>
        <v>31 PC Mimo Done - Šídlová Lucie</v>
      </c>
    </row>
    <row r="9" spans="1:4">
      <c r="A9" t="str">
        <f t="shared" ca="1" si="0"/>
        <v>B3</v>
      </c>
      <c r="B9" t="str">
        <f t="shared" ca="1" si="1"/>
        <v>34 CdP Loděnice - Jirkovský Tomáš</v>
      </c>
      <c r="C9" t="str">
        <f>Sk.B!$C$16</f>
        <v>B3</v>
      </c>
      <c r="D9" t="str">
        <f ca="1">Sk.B!$B$16</f>
        <v>34 CdP Loděnice - Jirkovský Tomáš</v>
      </c>
    </row>
    <row r="10" spans="1:4">
      <c r="A10" t="str">
        <f t="shared" ca="1" si="0"/>
        <v/>
      </c>
      <c r="B10" t="str">
        <f t="shared" ca="1" si="1"/>
        <v/>
      </c>
      <c r="C10" t="str">
        <f>Sk.B!$C$17</f>
        <v>B4</v>
      </c>
      <c r="D10" t="str">
        <f ca="1">Sk.B!$B$17</f>
        <v xml:space="preserve"> - </v>
      </c>
    </row>
    <row r="11" spans="1:4">
      <c r="A11" t="str">
        <f t="shared" ca="1" si="0"/>
        <v>C1</v>
      </c>
      <c r="B11" t="str">
        <f t="shared" ca="1" si="1"/>
        <v>3 PC Sokol Lipník - Konšel Jakub</v>
      </c>
      <c r="C11" t="str">
        <f>Sk.C!$C$14</f>
        <v>C1</v>
      </c>
      <c r="D11" t="str">
        <f ca="1">Sk.C!$B$14</f>
        <v>3 PC Sokol Lipník - Konšel Jakub</v>
      </c>
    </row>
    <row r="12" spans="1:4">
      <c r="A12" t="str">
        <f t="shared" ca="1" si="0"/>
        <v>C2</v>
      </c>
      <c r="B12" t="str">
        <f t="shared" ca="1" si="1"/>
        <v>35 PKT Velký Šanc - Horálek Jiří</v>
      </c>
      <c r="C12" t="str">
        <f>Sk.C!$C$15</f>
        <v>C2</v>
      </c>
      <c r="D12" t="str">
        <f ca="1">Sk.C!$B$15</f>
        <v>35 PKT Velký Šanc - Horálek Jiří</v>
      </c>
    </row>
    <row r="13" spans="1:4">
      <c r="A13" t="str">
        <f t="shared" ca="1" si="0"/>
        <v>C3</v>
      </c>
      <c r="B13" t="str">
        <f t="shared" ca="1" si="1"/>
        <v>30 SKP Kulová osma - Krejčín Leoš</v>
      </c>
      <c r="C13" t="str">
        <f>Sk.C!$C$16</f>
        <v>C3</v>
      </c>
      <c r="D13" t="str">
        <f ca="1">Sk.C!$B$16</f>
        <v>30 SKP Kulová osma - Krejčín Leoš</v>
      </c>
    </row>
    <row r="14" spans="1:4">
      <c r="A14" t="str">
        <f t="shared" ca="1" si="0"/>
        <v/>
      </c>
      <c r="B14" t="str">
        <f t="shared" ca="1" si="1"/>
        <v/>
      </c>
      <c r="C14" t="str">
        <f>Sk.C!$C$17</f>
        <v>C4</v>
      </c>
      <c r="D14" t="str">
        <f ca="1">Sk.C!$B$17</f>
        <v xml:space="preserve"> - </v>
      </c>
    </row>
    <row r="15" spans="1:4">
      <c r="A15" t="str">
        <f t="shared" ca="1" si="0"/>
        <v>D1</v>
      </c>
      <c r="B15" t="str">
        <f t="shared" ca="1" si="1"/>
        <v>4 CdP Loděnice - Resl Jan</v>
      </c>
      <c r="C15" t="str">
        <f>Sk.D!$C$14</f>
        <v>D1</v>
      </c>
      <c r="D15" t="str">
        <f ca="1">Sk.D!$B$14</f>
        <v>4 CdP Loděnice - Resl Jan</v>
      </c>
    </row>
    <row r="16" spans="1:4">
      <c r="A16" t="str">
        <f t="shared" ca="1" si="0"/>
        <v>D2</v>
      </c>
      <c r="B16" t="str">
        <f t="shared" ca="1" si="1"/>
        <v>29 Carreau Brno - Grepl Jiří</v>
      </c>
      <c r="C16" t="str">
        <f>Sk.D!$C$15</f>
        <v>D2</v>
      </c>
      <c r="D16" t="str">
        <f ca="1">Sk.D!$B$15</f>
        <v>29 Carreau Brno - Grepl Jiří</v>
      </c>
    </row>
    <row r="17" spans="1:4">
      <c r="A17" t="str">
        <f t="shared" ca="1" si="0"/>
        <v>D3</v>
      </c>
      <c r="B17" t="str">
        <f t="shared" ca="1" si="1"/>
        <v>36 HRODE KRUMSÍN - Rolínek Michal</v>
      </c>
      <c r="C17" t="str">
        <f>Sk.D!$C$16</f>
        <v>D3</v>
      </c>
      <c r="D17" t="str">
        <f ca="1">Sk.D!$B$16</f>
        <v>36 HRODE KRUMSÍN - Rolínek Michal</v>
      </c>
    </row>
    <row r="18" spans="1:4">
      <c r="A18" t="str">
        <f t="shared" ca="1" si="0"/>
        <v/>
      </c>
      <c r="B18" t="str">
        <f t="shared" ca="1" si="1"/>
        <v/>
      </c>
      <c r="C18" t="str">
        <f>Sk.D!$C$17</f>
        <v>D4</v>
      </c>
      <c r="D18" t="str">
        <f ca="1">Sk.D!$B$17</f>
        <v xml:space="preserve"> - </v>
      </c>
    </row>
    <row r="19" spans="1:4">
      <c r="A19" t="str">
        <f t="shared" ca="1" si="0"/>
        <v>E1</v>
      </c>
      <c r="B19" t="str">
        <f ca="1">IF(TYPE(D19)&gt;4," - ",IF(OR(TRIM(D19)="",TRIM(D19)="-"),"",D19))</f>
        <v>5 TOP - ORLOVÁ - Bačo David</v>
      </c>
      <c r="C19" t="str">
        <f>Sk.E!$C$14</f>
        <v>E1</v>
      </c>
      <c r="D19" t="str">
        <f ca="1">Sk.E!$B$14</f>
        <v>5 TOP - ORLOVÁ - Bačo David</v>
      </c>
    </row>
    <row r="20" spans="1:4">
      <c r="A20" t="str">
        <f t="shared" ca="1" si="0"/>
        <v>E2</v>
      </c>
      <c r="B20" t="str">
        <f t="shared" ref="B20:B87" ca="1" si="2">IF(TYPE(D20)&gt;4," - ",IF(OR(TRIM(D20)="",TRIM(D20)="-"),"",D20))</f>
        <v>37 PC Sokol Lipník - Šplechtová Dana</v>
      </c>
      <c r="C20" t="str">
        <f>Sk.E!$C$15</f>
        <v>E2</v>
      </c>
      <c r="D20" t="str">
        <f ca="1">Sk.E!$B$15</f>
        <v>37 PC Sokol Lipník - Šplechtová Dana</v>
      </c>
    </row>
    <row r="21" spans="1:4">
      <c r="A21" t="str">
        <f t="shared" ca="1" si="0"/>
        <v>E3</v>
      </c>
      <c r="B21" t="str">
        <f t="shared" ca="1" si="2"/>
        <v>28 Petank Club Praha - Kašparová Barbora</v>
      </c>
      <c r="C21" t="str">
        <f>Sk.E!$C$16</f>
        <v>E3</v>
      </c>
      <c r="D21" t="str">
        <f ca="1">Sk.E!$B$16</f>
        <v>28 Petank Club Praha - Kašparová Barbora</v>
      </c>
    </row>
    <row r="22" spans="1:4">
      <c r="A22" t="str">
        <f t="shared" ca="1" si="0"/>
        <v/>
      </c>
      <c r="B22" t="str">
        <f t="shared" ca="1" si="2"/>
        <v/>
      </c>
      <c r="C22" t="str">
        <f>Sk.E!$C$17</f>
        <v>E4</v>
      </c>
      <c r="D22" t="str">
        <f ca="1">Sk.E!$B$17</f>
        <v xml:space="preserve"> - </v>
      </c>
    </row>
    <row r="23" spans="1:4">
      <c r="A23" t="str">
        <f t="shared" ca="1" si="0"/>
        <v>F1</v>
      </c>
      <c r="B23" t="str">
        <f t="shared" ca="1" si="2"/>
        <v>6 CdP Loděnice - Dlouhá Ivana</v>
      </c>
      <c r="C23" t="str">
        <f>Sk.F!$C$14</f>
        <v>F1</v>
      </c>
      <c r="D23" t="str">
        <f ca="1">Sk.F!$B$14</f>
        <v>6 CdP Loděnice - Dlouhá Ivana</v>
      </c>
    </row>
    <row r="24" spans="1:4">
      <c r="A24" t="str">
        <f t="shared" ca="1" si="0"/>
        <v>F2</v>
      </c>
      <c r="B24" t="str">
        <f t="shared" ca="1" si="2"/>
        <v>27 1. KPK Vrchlabí - Kapeš Roman</v>
      </c>
      <c r="C24" t="str">
        <f>Sk.F!$C$15</f>
        <v>F2</v>
      </c>
      <c r="D24" t="str">
        <f ca="1">Sk.F!$B$15</f>
        <v>27 1. KPK Vrchlabí - Kapeš Roman</v>
      </c>
    </row>
    <row r="25" spans="1:4">
      <c r="A25" t="str">
        <f t="shared" ca="1" si="0"/>
        <v>F3</v>
      </c>
      <c r="B25" t="str">
        <f t="shared" ca="1" si="2"/>
        <v>59 PSK Jihlava - Půža Jan</v>
      </c>
      <c r="C25" t="str">
        <f>Sk.F!$C$16</f>
        <v>F3</v>
      </c>
      <c r="D25" t="str">
        <f ca="1">Sk.F!$B$16</f>
        <v>59 PSK Jihlava - Půža Jan</v>
      </c>
    </row>
    <row r="26" spans="1:4">
      <c r="A26" t="str">
        <f t="shared" ca="1" si="0"/>
        <v>F4</v>
      </c>
      <c r="B26" t="str">
        <f t="shared" ca="1" si="2"/>
        <v>38 UBU Únětice - Křížek Evžen</v>
      </c>
      <c r="C26" t="str">
        <f>Sk.F!$C$17</f>
        <v>F4</v>
      </c>
      <c r="D26" t="str">
        <f ca="1">Sk.F!$B$17</f>
        <v>38 UBU Únětice - Křížek Evžen</v>
      </c>
    </row>
    <row r="27" spans="1:4">
      <c r="A27" t="str">
        <f t="shared" ca="1" si="0"/>
        <v>G1</v>
      </c>
      <c r="B27" t="str">
        <f t="shared" ca="1" si="2"/>
        <v>26 HAVAJ CB - Koreš st. Jiří</v>
      </c>
      <c r="C27" t="str">
        <f>Sk.G!$C$14</f>
        <v>G1</v>
      </c>
      <c r="D27" t="str">
        <f ca="1">Sk.G!$B$14</f>
        <v>26 HAVAJ CB - Koreš st. Jiří</v>
      </c>
    </row>
    <row r="28" spans="1:4">
      <c r="A28" t="str">
        <f t="shared" ca="1" si="0"/>
        <v>G2</v>
      </c>
      <c r="B28" t="str">
        <f t="shared" ca="1" si="2"/>
        <v>7 HRODE KRUMSÍN - Motl Bohuslav</v>
      </c>
      <c r="C28" t="str">
        <f>Sk.G!$C$15</f>
        <v>G2</v>
      </c>
      <c r="D28" t="str">
        <f ca="1">Sk.G!$B$15</f>
        <v>7 HRODE KRUMSÍN - Motl Bohuslav</v>
      </c>
    </row>
    <row r="29" spans="1:4">
      <c r="A29" t="str">
        <f t="shared" ca="1" si="0"/>
        <v>G3</v>
      </c>
      <c r="B29" t="str">
        <f t="shared" ca="1" si="2"/>
        <v>39 Orel Řečkovice - Mareček Pavel</v>
      </c>
      <c r="C29" t="str">
        <f>Sk.G!$C$16</f>
        <v>G3</v>
      </c>
      <c r="D29" t="str">
        <f ca="1">Sk.G!$B$16</f>
        <v>39 Orel Řečkovice - Mareček Pavel</v>
      </c>
    </row>
    <row r="30" spans="1:4">
      <c r="A30" t="str">
        <f t="shared" ca="1" si="0"/>
        <v>G4</v>
      </c>
      <c r="B30" t="str">
        <f t="shared" ca="1" si="2"/>
        <v>58 PSK Jihlava - Žáková Naděžda</v>
      </c>
      <c r="C30" t="str">
        <f>Sk.G!$C$17</f>
        <v>G4</v>
      </c>
      <c r="D30" t="str">
        <f ca="1">Sk.G!$B$17</f>
        <v>58 PSK Jihlava - Žáková Naděžda</v>
      </c>
    </row>
    <row r="31" spans="1:4">
      <c r="A31" t="str">
        <f t="shared" ca="1" si="0"/>
        <v>H1</v>
      </c>
      <c r="B31" t="str">
        <f t="shared" ca="1" si="2"/>
        <v>8 1. KPK Vrchlabí - Vedral Filip</v>
      </c>
      <c r="C31" t="str">
        <f>Sk.H!$C$14</f>
        <v>H1</v>
      </c>
      <c r="D31" t="str">
        <f ca="1">Sk.H!$B$14</f>
        <v>8 1. KPK Vrchlabí - Vedral Filip</v>
      </c>
    </row>
    <row r="32" spans="1:4">
      <c r="A32" t="str">
        <f t="shared" ca="1" si="0"/>
        <v>H2</v>
      </c>
      <c r="B32" t="str">
        <f t="shared" ca="1" si="2"/>
        <v>40 PC Mimo Done - Šíma Jaroslav</v>
      </c>
      <c r="C32" t="str">
        <f>Sk.H!$C$15</f>
        <v>H2</v>
      </c>
      <c r="D32" t="str">
        <f ca="1">Sk.H!$B$15</f>
        <v>40 PC Mimo Done - Šíma Jaroslav</v>
      </c>
    </row>
    <row r="33" spans="1:4">
      <c r="A33" t="str">
        <f t="shared" ca="1" si="0"/>
        <v>H3</v>
      </c>
      <c r="B33" t="str">
        <f t="shared" ca="1" si="2"/>
        <v>25 1. Starobrněnský PK - Strouhalová Terezie</v>
      </c>
      <c r="C33" t="str">
        <f>Sk.H!$C$16</f>
        <v>H3</v>
      </c>
      <c r="D33" t="str">
        <f ca="1">Sk.H!$B$16</f>
        <v>25 1. Starobrněnský PK - Strouhalová Terezie</v>
      </c>
    </row>
    <row r="34" spans="1:4">
      <c r="A34" t="str">
        <f t="shared" ca="1" si="0"/>
        <v>H4</v>
      </c>
      <c r="B34" t="str">
        <f t="shared" ca="1" si="2"/>
        <v>57 PSK Jihlava - Krupicová Natálie</v>
      </c>
      <c r="C34" t="str">
        <f>Sk.H!$C$17</f>
        <v>H4</v>
      </c>
      <c r="D34" t="str">
        <f ca="1">Sk.H!$B$17</f>
        <v>57 PSK Jihlava - Krupicová Natálie</v>
      </c>
    </row>
    <row r="35" spans="1:4">
      <c r="A35" t="str">
        <f t="shared" ca="1" si="0"/>
        <v>I1</v>
      </c>
      <c r="B35" t="str">
        <f t="shared" ca="1" si="2"/>
        <v>41 PC Sokol PP Hr. Králové - Melgr Jan</v>
      </c>
      <c r="C35" t="str">
        <f>Sk.I!$C$14</f>
        <v>I1</v>
      </c>
      <c r="D35" t="str">
        <f ca="1">Sk.I!$B$14</f>
        <v>41 PC Sokol PP Hr. Králové - Melgr Jan</v>
      </c>
    </row>
    <row r="36" spans="1:4">
      <c r="A36" t="str">
        <f t="shared" ca="1" si="0"/>
        <v>I2</v>
      </c>
      <c r="B36" t="str">
        <f t="shared" ca="1" si="2"/>
        <v>24 SPORT Kolín - Šternberg Martin</v>
      </c>
      <c r="C36" t="str">
        <f>Sk.I!$C$15</f>
        <v>I2</v>
      </c>
      <c r="D36" t="str">
        <f ca="1">Sk.I!$B$15</f>
        <v>24 SPORT Kolín - Šternberg Martin</v>
      </c>
    </row>
    <row r="37" spans="1:4">
      <c r="A37" t="str">
        <f t="shared" ca="1" si="0"/>
        <v>I3</v>
      </c>
      <c r="B37" t="str">
        <f t="shared" ca="1" si="2"/>
        <v>9 Carreau Brno - Dudašková Michaela</v>
      </c>
      <c r="C37" t="str">
        <f>Sk.I!$C$16</f>
        <v>I3</v>
      </c>
      <c r="D37" t="str">
        <f ca="1">Sk.I!$B$16</f>
        <v>9 Carreau Brno - Dudašková Michaela</v>
      </c>
    </row>
    <row r="38" spans="1:4">
      <c r="A38" t="str">
        <f t="shared" ca="1" si="0"/>
        <v>I4</v>
      </c>
      <c r="B38" t="str">
        <f t="shared" ca="1" si="2"/>
        <v>56 PSK Jihlava - Dyba Daniel</v>
      </c>
      <c r="C38" t="str">
        <f>Sk.I!$C$17</f>
        <v>I4</v>
      </c>
      <c r="D38" t="str">
        <f ca="1">Sk.I!$B$17</f>
        <v>56 PSK Jihlava - Dyba Daniel</v>
      </c>
    </row>
    <row r="39" spans="1:4">
      <c r="A39" t="str">
        <f t="shared" ca="1" si="0"/>
        <v>J1</v>
      </c>
      <c r="B39" t="str">
        <f t="shared" ca="1" si="2"/>
        <v>23 PLUK Jablonec - Lukáš Petr</v>
      </c>
      <c r="C39" t="str">
        <f>Sk.J!$C$14</f>
        <v>J1</v>
      </c>
      <c r="D39" t="str">
        <f ca="1">Sk.J!$B$14</f>
        <v>23 PLUK Jablonec - Lukáš Petr</v>
      </c>
    </row>
    <row r="40" spans="1:4">
      <c r="A40" t="str">
        <f t="shared" ca="1" si="0"/>
        <v>J2</v>
      </c>
      <c r="B40" t="str">
        <f t="shared" ca="1" si="2"/>
        <v>42 SK Sahara Vědomice - Piller Tomáš</v>
      </c>
      <c r="C40" t="str">
        <f>Sk.J!$C$15</f>
        <v>J2</v>
      </c>
      <c r="D40" t="str">
        <f ca="1">Sk.J!$B$15</f>
        <v>42 SK Sahara Vědomice - Piller Tomáš</v>
      </c>
    </row>
    <row r="41" spans="1:4">
      <c r="A41" t="str">
        <f t="shared" ca="1" si="0"/>
        <v>J3</v>
      </c>
      <c r="B41" t="str">
        <f t="shared" ca="1" si="2"/>
        <v>10 SKP Hranice VI-Valšovice - Kutá Miloslava</v>
      </c>
      <c r="C41" t="str">
        <f>Sk.J!$C$16</f>
        <v>J3</v>
      </c>
      <c r="D41" t="str">
        <f ca="1">Sk.J!$B$16</f>
        <v>10 SKP Hranice VI-Valšovice - Kutá Miloslava</v>
      </c>
    </row>
    <row r="42" spans="1:4">
      <c r="A42" t="str">
        <f t="shared" ca="1" si="0"/>
        <v>J4</v>
      </c>
      <c r="B42" t="str">
        <f t="shared" ca="1" si="2"/>
        <v>55 BePeC 2016 - Horák Libor</v>
      </c>
      <c r="C42" t="str">
        <f>Sk.J!$C$17</f>
        <v>J4</v>
      </c>
      <c r="D42" t="str">
        <f ca="1">Sk.J!$B$17</f>
        <v>55 BePeC 2016 - Horák Libor</v>
      </c>
    </row>
    <row r="43" spans="1:4">
      <c r="A43" t="str">
        <f t="shared" ca="1" si="0"/>
        <v>K1</v>
      </c>
      <c r="B43" t="str">
        <f t="shared" ca="1" si="2"/>
        <v>11 PC Damníkov - Brandes Michael</v>
      </c>
      <c r="C43" t="str">
        <f>Sk.K!$C$14</f>
        <v>K1</v>
      </c>
      <c r="D43" t="str">
        <f ca="1">Sk.K!$B$14</f>
        <v>11 PC Damníkov - Brandes Michael</v>
      </c>
    </row>
    <row r="44" spans="1:4">
      <c r="A44" t="str">
        <f t="shared" ca="1" si="0"/>
        <v>K2</v>
      </c>
      <c r="B44" t="str">
        <f t="shared" ca="1" si="2"/>
        <v>22 SK Sahara Vědomice - Sekerešová Jindřiška</v>
      </c>
      <c r="C44" t="str">
        <f>Sk.K!$C$15</f>
        <v>K2</v>
      </c>
      <c r="D44" t="str">
        <f ca="1">Sk.K!$B$15</f>
        <v>22 SK Sahara Vědomice - Sekerešová Jindřiška</v>
      </c>
    </row>
    <row r="45" spans="1:4">
      <c r="A45" t="str">
        <f t="shared" ca="1" si="0"/>
        <v>K3</v>
      </c>
      <c r="B45" t="str">
        <f t="shared" ca="1" si="2"/>
        <v>54 PO Chotěboř - Holenda Milan</v>
      </c>
      <c r="C45" t="str">
        <f>Sk.K!$C$16</f>
        <v>K3</v>
      </c>
      <c r="D45" t="str">
        <f ca="1">Sk.K!$B$16</f>
        <v>54 PO Chotěboř - Holenda Milan</v>
      </c>
    </row>
    <row r="46" spans="1:4">
      <c r="A46" t="str">
        <f t="shared" ca="1" si="0"/>
        <v>K4</v>
      </c>
      <c r="B46" t="str">
        <f t="shared" ca="1" si="2"/>
        <v>43 SK Pétanque Řepy - Vodehnalová Jindra</v>
      </c>
      <c r="C46" t="str">
        <f>Sk.K!$C$17</f>
        <v>K4</v>
      </c>
      <c r="D46" t="str">
        <f ca="1">Sk.K!$B$17</f>
        <v>43 SK Pétanque Řepy - Vodehnalová Jindra</v>
      </c>
    </row>
    <row r="47" spans="1:4">
      <c r="A47" t="str">
        <f t="shared" ca="1" si="0"/>
        <v>L1</v>
      </c>
      <c r="B47" t="str">
        <f t="shared" ca="1" si="2"/>
        <v>12 Orel Řečkovice - Hanák Pavel</v>
      </c>
      <c r="C47" t="str">
        <f>Sk.L!$C$14</f>
        <v>L1</v>
      </c>
      <c r="D47" t="str">
        <f ca="1">Sk.L!$B$14</f>
        <v>12 Orel Řečkovice - Hanák Pavel</v>
      </c>
    </row>
    <row r="48" spans="1:4">
      <c r="A48" t="str">
        <f t="shared" ca="1" si="0"/>
        <v>L2</v>
      </c>
      <c r="B48" t="str">
        <f t="shared" ca="1" si="2"/>
        <v>21 Carreau Brno - Ferlay Franck</v>
      </c>
      <c r="C48" t="str">
        <f>Sk.L!$C$15</f>
        <v>L2</v>
      </c>
      <c r="D48" t="str">
        <f ca="1">Sk.L!$B$15</f>
        <v>21 Carreau Brno - Ferlay Franck</v>
      </c>
    </row>
    <row r="49" spans="1:4">
      <c r="A49" t="str">
        <f t="shared" ca="1" si="0"/>
        <v>L3</v>
      </c>
      <c r="B49" t="str">
        <f t="shared" ca="1" si="2"/>
        <v>53 PC Sokol Velim - Sudoměřický Tomáš</v>
      </c>
      <c r="C49" t="str">
        <f>Sk.L!$C$16</f>
        <v>L3</v>
      </c>
      <c r="D49" t="str">
        <f ca="1">Sk.L!$B$16</f>
        <v>53 PC Sokol Velim - Sudoměřický Tomáš</v>
      </c>
    </row>
    <row r="50" spans="1:4">
      <c r="A50" t="str">
        <f t="shared" ca="1" si="0"/>
        <v>L4</v>
      </c>
      <c r="B50" t="str">
        <f t="shared" ca="1" si="2"/>
        <v>44 SKP Kulová osma - Chmelař Ivo</v>
      </c>
      <c r="C50" t="str">
        <f>Sk.L!$C$17</f>
        <v>L4</v>
      </c>
      <c r="D50" t="str">
        <f ca="1">Sk.L!$B$17</f>
        <v>44 SKP Kulová osma - Chmelař Ivo</v>
      </c>
    </row>
    <row r="51" spans="1:4">
      <c r="A51" t="str">
        <f t="shared" ca="1" si="0"/>
        <v>M1</v>
      </c>
      <c r="B51" t="str">
        <f t="shared" ca="1" si="2"/>
        <v>20 Carreau Brno - Pellizon Boris Alfred</v>
      </c>
      <c r="C51" t="str">
        <f>Sk.M!$C$14</f>
        <v>M1</v>
      </c>
      <c r="D51" t="str">
        <f ca="1">Sk.M!$B$14</f>
        <v>20 Carreau Brno - Pellizon Boris Alfred</v>
      </c>
    </row>
    <row r="52" spans="1:4">
      <c r="A52" t="str">
        <f t="shared" ca="1" si="0"/>
        <v>M2</v>
      </c>
      <c r="B52" t="str">
        <f t="shared" ca="1" si="2"/>
        <v>13 PK Polouvsí - Valošek Radim</v>
      </c>
      <c r="C52" t="str">
        <f>Sk.M!$C$15</f>
        <v>M2</v>
      </c>
      <c r="D52" t="str">
        <f ca="1">Sk.M!$B$15</f>
        <v>13 PK Polouvsí - Valošek Radim</v>
      </c>
    </row>
    <row r="53" spans="1:4">
      <c r="A53" t="str">
        <f t="shared" ca="1" si="0"/>
        <v>M3</v>
      </c>
      <c r="B53" t="str">
        <f t="shared" ca="1" si="2"/>
        <v>45 PSK Jihlava - Lujková Klára</v>
      </c>
      <c r="C53" t="str">
        <f>Sk.M!$C$16</f>
        <v>M3</v>
      </c>
      <c r="D53" t="str">
        <f ca="1">Sk.M!$B$16</f>
        <v>45 PSK Jihlava - Lujková Klára</v>
      </c>
    </row>
    <row r="54" spans="1:4">
      <c r="A54" t="str">
        <f t="shared" ca="1" si="0"/>
        <v>M4</v>
      </c>
      <c r="B54" t="str">
        <f t="shared" ca="1" si="2"/>
        <v>52 Carreau Brno - Grepl Kamila</v>
      </c>
      <c r="C54" t="str">
        <f>Sk.M!$C$17</f>
        <v>M4</v>
      </c>
      <c r="D54" t="str">
        <f ca="1">Sk.M!$B$17</f>
        <v>52 Carreau Brno - Grepl Kamila</v>
      </c>
    </row>
    <row r="55" spans="1:4">
      <c r="A55" t="str">
        <f t="shared" ca="1" si="0"/>
        <v>N1</v>
      </c>
      <c r="B55" t="str">
        <f t="shared" ca="1" si="2"/>
        <v>51 UBU Únětice - Fuksa Petr</v>
      </c>
      <c r="C55" t="str">
        <f>Sk.N!$C$14</f>
        <v>N1</v>
      </c>
      <c r="D55" t="str">
        <f ca="1">Sk.N!$B$14</f>
        <v>51 UBU Únětice - Fuksa Petr</v>
      </c>
    </row>
    <row r="56" spans="1:4">
      <c r="A56" t="str">
        <f t="shared" ca="1" si="0"/>
        <v>N2</v>
      </c>
      <c r="B56" t="str">
        <f t="shared" ca="1" si="2"/>
        <v>19 SKP Hranice VI-Valšovice - Gratcl Jiří</v>
      </c>
      <c r="C56" t="str">
        <f>Sk.N!$C$15</f>
        <v>N2</v>
      </c>
      <c r="D56" t="str">
        <f ca="1">Sk.N!$B$15</f>
        <v>19 SKP Hranice VI-Valšovice - Gratcl Jiří</v>
      </c>
    </row>
    <row r="57" spans="1:4">
      <c r="A57" t="str">
        <f t="shared" ca="1" si="0"/>
        <v>N3</v>
      </c>
      <c r="B57" t="str">
        <f t="shared" ca="1" si="2"/>
        <v>46 SK Sahara Vědomice - Horáčková Simona</v>
      </c>
      <c r="C57" t="str">
        <f>Sk.N!$C$16</f>
        <v>N3</v>
      </c>
      <c r="D57" t="str">
        <f ca="1">Sk.N!$B$16</f>
        <v>46 SK Sahara Vědomice - Horáčková Simona</v>
      </c>
    </row>
    <row r="58" spans="1:4">
      <c r="A58" t="str">
        <f t="shared" ca="1" si="0"/>
        <v>N4</v>
      </c>
      <c r="B58" t="str">
        <f t="shared" ca="1" si="2"/>
        <v>14 PEK Stolín - Geislerová Veronika</v>
      </c>
      <c r="C58" t="str">
        <f>Sk.N!$C$17</f>
        <v>N4</v>
      </c>
      <c r="D58" t="str">
        <f ca="1">Sk.N!$B$17</f>
        <v>14 PEK Stolín - Geislerová Veronika</v>
      </c>
    </row>
    <row r="59" spans="1:4">
      <c r="A59" t="str">
        <f t="shared" ca="1" si="0"/>
        <v>O1</v>
      </c>
      <c r="B59" t="str">
        <f t="shared" ca="1" si="2"/>
        <v>15 1. KPK Vrchlabí - Hančová Alice</v>
      </c>
      <c r="C59" t="str">
        <f>Sk.O!$C$14</f>
        <v>O1</v>
      </c>
      <c r="D59" t="str">
        <f ca="1">Sk.O!$B$14</f>
        <v>15 1. KPK Vrchlabí - Hančová Alice</v>
      </c>
    </row>
    <row r="60" spans="1:4">
      <c r="A60" t="str">
        <f t="shared" ca="1" si="0"/>
        <v>O2</v>
      </c>
      <c r="B60" t="str">
        <f t="shared" ca="1" si="2"/>
        <v>18 1. KPK Vrchlabí - Brázda Vladimír</v>
      </c>
      <c r="C60" t="str">
        <f>Sk.O!$C$15</f>
        <v>O2</v>
      </c>
      <c r="D60" t="str">
        <f ca="1">Sk.O!$B$15</f>
        <v>18 1. KPK Vrchlabí - Brázda Vladimír</v>
      </c>
    </row>
    <row r="61" spans="1:4">
      <c r="A61" t="str">
        <f t="shared" ca="1" si="0"/>
        <v>O3</v>
      </c>
      <c r="B61" t="str">
        <f t="shared" ca="1" si="2"/>
        <v>47 1. Starobrněnský PK - Petrželka Josef</v>
      </c>
      <c r="C61" t="str">
        <f>Sk.O!$C$16</f>
        <v>O3</v>
      </c>
      <c r="D61" t="str">
        <f ca="1">Sk.O!$B$16</f>
        <v>47 1. Starobrněnský PK - Petrželka Josef</v>
      </c>
    </row>
    <row r="62" spans="1:4">
      <c r="A62" t="str">
        <f t="shared" ca="1" si="0"/>
        <v>O4</v>
      </c>
      <c r="B62" t="str">
        <f t="shared" ca="1" si="2"/>
        <v>50 PK Polouvsí - Rusek Luboš</v>
      </c>
      <c r="C62" t="str">
        <f>Sk.O!$C$17</f>
        <v>O4</v>
      </c>
      <c r="D62" t="str">
        <f ca="1">Sk.O!$B$17</f>
        <v>50 PK Polouvsí - Rusek Luboš</v>
      </c>
    </row>
    <row r="63" spans="1:4">
      <c r="A63" t="str">
        <f t="shared" ca="1" si="0"/>
        <v>P1</v>
      </c>
      <c r="B63" t="str">
        <f t="shared" ca="1" si="2"/>
        <v>16 HAPEK - Bureš st. Pavel</v>
      </c>
      <c r="C63" t="str">
        <f>Sk.P!$C$14</f>
        <v>P1</v>
      </c>
      <c r="D63" t="str">
        <f ca="1">Sk.P!$B$14</f>
        <v>16 HAPEK - Bureš st. Pavel</v>
      </c>
    </row>
    <row r="64" spans="1:4">
      <c r="A64" t="str">
        <f t="shared" ca="1" si="0"/>
        <v>P2</v>
      </c>
      <c r="B64" t="str">
        <f t="shared" ca="1" si="2"/>
        <v>17 SK Sahara Vědomice - Demčíková Jiřina</v>
      </c>
      <c r="C64" t="str">
        <f>Sk.P!$C$15</f>
        <v>P2</v>
      </c>
      <c r="D64" t="str">
        <f ca="1">Sk.P!$B$15</f>
        <v>17 SK Sahara Vědomice - Demčíková Jiřina</v>
      </c>
    </row>
    <row r="65" spans="1:4">
      <c r="A65" t="str">
        <f t="shared" ca="1" si="0"/>
        <v>P3</v>
      </c>
      <c r="B65" t="str">
        <f t="shared" ca="1" si="2"/>
        <v>48 SK Pétanque Řepy - Hladík Jaroslav</v>
      </c>
      <c r="C65" t="str">
        <f>Sk.P!$C$16</f>
        <v>P3</v>
      </c>
      <c r="D65" t="str">
        <f ca="1">Sk.P!$B$16</f>
        <v>48 SK Pétanque Řepy - Hladík Jaroslav</v>
      </c>
    </row>
    <row r="66" spans="1:4">
      <c r="A66" t="str">
        <f t="shared" ca="1" si="0"/>
        <v>P4</v>
      </c>
      <c r="B66" t="str">
        <f t="shared" ca="1" si="2"/>
        <v>49 PK Polouvsí - Grepl Zbyněk</v>
      </c>
      <c r="C66" t="str">
        <f>Sk.P!$C$17</f>
        <v>P4</v>
      </c>
      <c r="D66" t="str">
        <f ca="1">Sk.P!$B$17</f>
        <v>49 PK Polouvsí - Grepl Zbyněk</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
  <cols>
    <col min="2" max="2" width="38.25" customWidth="1"/>
    <col min="4" max="4" width="38.1640625" customWidth="1"/>
    <col min="8" max="8" width="2.75" customWidth="1"/>
    <col min="9" max="9" width="24.1640625" customWidth="1"/>
    <col min="10" max="11" width="2.75" customWidth="1"/>
    <col min="12" max="12" width="28" style="316" customWidth="1"/>
    <col min="13" max="13" width="5.25" style="309" customWidth="1"/>
    <col min="14" max="14" width="28" style="316" customWidth="1"/>
    <col min="15" max="15" width="5.25" style="309" customWidth="1"/>
    <col min="16" max="16" width="28" style="316" customWidth="1"/>
    <col min="17" max="17" width="5.25" style="309" customWidth="1"/>
    <col min="18" max="18" width="2.75" customWidth="1"/>
    <col min="19" max="19" width="28" style="316" customWidth="1"/>
    <col min="20" max="20" width="5.25" style="309" customWidth="1"/>
    <col min="21" max="21" width="3.75" customWidth="1"/>
    <col min="22" max="22" width="2.75" customWidth="1"/>
    <col min="23" max="23" width="28" style="316" customWidth="1"/>
    <col min="24" max="24" width="5.25" style="309" customWidth="1"/>
    <col min="25" max="25" width="28" style="316" customWidth="1"/>
    <col min="26" max="26" width="5.25" style="309" customWidth="1"/>
    <col min="27" max="27" width="28" style="316" customWidth="1"/>
    <col min="28" max="28" width="5.25" style="309" customWidth="1"/>
    <col min="29" max="29" width="28" style="316" customWidth="1"/>
    <col min="30" max="30" width="2.75" customWidth="1"/>
    <col min="31" max="31" width="28" style="316" customWidth="1"/>
    <col min="32" max="32" width="5.25" style="309" customWidth="1"/>
    <col min="33" max="33" width="3.75" customWidth="1"/>
    <col min="34" max="34" width="2.75" customWidth="1"/>
    <col min="35" max="35" width="28" style="316" customWidth="1"/>
    <col min="36" max="36" width="5.25" style="309" customWidth="1"/>
    <col min="37" max="37" width="28" style="316" customWidth="1"/>
    <col min="38" max="38" width="5.25" style="309" customWidth="1"/>
    <col min="39" max="39" width="28" style="316" customWidth="1"/>
    <col min="40" max="40" width="5.25" style="309" customWidth="1"/>
    <col min="41" max="41" width="28" style="316" customWidth="1"/>
    <col min="42" max="42" width="5.25" style="309" customWidth="1"/>
    <col min="43" max="43" width="28" style="316" customWidth="1"/>
    <col min="44" max="44" width="5.25" style="309" customWidth="1"/>
    <col min="45" max="45" width="2.75" customWidth="1"/>
    <col min="46" max="46" width="28" style="316" customWidth="1"/>
    <col min="47" max="47" width="5.25" style="309" customWidth="1"/>
    <col min="48" max="48" width="28" style="316" customWidth="1"/>
    <col min="49" max="49" width="5.25" style="309" customWidth="1"/>
    <col min="50" max="50" width="28" style="316" customWidth="1"/>
    <col min="51" max="51" width="5.25" style="309" customWidth="1"/>
    <col min="52" max="52" width="28" style="316" customWidth="1"/>
    <col min="53" max="53" width="5.25" style="309" customWidth="1"/>
    <col min="54" max="54" width="28" style="316" customWidth="1"/>
    <col min="55" max="55" width="5.25" style="309" customWidth="1"/>
    <col min="56" max="56" width="28" style="316" customWidth="1"/>
    <col min="57" max="57" width="5.25" style="309" customWidth="1"/>
    <col min="58" max="58" width="2.75" customWidth="1"/>
    <col min="59" max="59" width="28" style="316" customWidth="1"/>
    <col min="60" max="60" width="5.25" style="309" customWidth="1"/>
    <col min="61" max="61" width="28" style="316" customWidth="1"/>
    <col min="62" max="62" width="5.25" style="309" customWidth="1"/>
    <col min="63" max="63" width="28" style="316" customWidth="1"/>
    <col min="64" max="64" width="5.25" style="309" customWidth="1"/>
    <col min="65" max="65" width="28" style="316" customWidth="1"/>
    <col min="66" max="66" width="5.25" style="309" customWidth="1"/>
    <col min="67" max="67" width="28" style="316" customWidth="1"/>
    <col min="68" max="68" width="5.25" style="309" customWidth="1"/>
    <col min="69" max="70" width="28" style="316" customWidth="1"/>
    <col min="71" max="71" width="5.25" style="309" customWidth="1"/>
  </cols>
  <sheetData>
    <row r="1" spans="1:71" ht="22.2" customHeight="1" thickBot="1">
      <c r="B1" s="64" t="s">
        <v>263</v>
      </c>
      <c r="E1" s="2" t="s">
        <v>290</v>
      </c>
      <c r="F1" s="2" t="s">
        <v>291</v>
      </c>
      <c r="G1" t="s">
        <v>121</v>
      </c>
      <c r="I1" s="309">
        <v>9</v>
      </c>
      <c r="J1" s="309">
        <v>10</v>
      </c>
      <c r="K1" s="309">
        <v>11</v>
      </c>
      <c r="L1" s="309">
        <v>12</v>
      </c>
      <c r="M1" s="309">
        <v>13</v>
      </c>
      <c r="N1" s="309">
        <v>14</v>
      </c>
      <c r="O1" s="309">
        <v>15</v>
      </c>
      <c r="P1" s="309">
        <v>16</v>
      </c>
      <c r="Q1" s="309">
        <v>17</v>
      </c>
      <c r="R1" s="309">
        <v>18</v>
      </c>
      <c r="S1" s="309">
        <v>19</v>
      </c>
      <c r="T1" s="309">
        <v>20</v>
      </c>
      <c r="U1" s="309">
        <v>21</v>
      </c>
      <c r="V1" s="309">
        <v>22</v>
      </c>
      <c r="W1" s="309">
        <v>23</v>
      </c>
      <c r="X1" s="309">
        <v>24</v>
      </c>
      <c r="Y1" s="309">
        <v>25</v>
      </c>
      <c r="Z1" s="309">
        <v>26</v>
      </c>
      <c r="AA1" s="309">
        <v>27</v>
      </c>
      <c r="AB1" s="309">
        <v>28</v>
      </c>
      <c r="AC1" s="309">
        <v>29</v>
      </c>
      <c r="AD1" s="309">
        <v>30</v>
      </c>
      <c r="AE1" s="309">
        <v>31</v>
      </c>
      <c r="AF1" s="309">
        <v>32</v>
      </c>
      <c r="AG1" s="309">
        <v>33</v>
      </c>
      <c r="AH1" s="309">
        <v>34</v>
      </c>
      <c r="AI1" s="309">
        <v>35</v>
      </c>
      <c r="AJ1" s="309">
        <v>36</v>
      </c>
      <c r="AK1" s="309">
        <v>37</v>
      </c>
      <c r="AL1" s="309">
        <v>38</v>
      </c>
      <c r="AM1" s="309">
        <v>39</v>
      </c>
      <c r="AN1" s="309">
        <v>40</v>
      </c>
      <c r="AO1" s="309">
        <v>41</v>
      </c>
      <c r="AP1" s="309">
        <v>42</v>
      </c>
      <c r="AQ1" s="309">
        <v>43</v>
      </c>
      <c r="AR1" s="309">
        <v>44</v>
      </c>
      <c r="AS1" s="309">
        <v>45</v>
      </c>
      <c r="AT1" s="309">
        <v>46</v>
      </c>
      <c r="AU1" s="309">
        <v>47</v>
      </c>
      <c r="AV1" s="309">
        <v>48</v>
      </c>
      <c r="AW1" s="309">
        <v>49</v>
      </c>
      <c r="AX1" s="309">
        <v>50</v>
      </c>
      <c r="AY1" s="309">
        <v>51</v>
      </c>
      <c r="AZ1" s="309">
        <v>52</v>
      </c>
      <c r="BA1" s="309">
        <v>53</v>
      </c>
      <c r="BB1" s="309">
        <v>54</v>
      </c>
      <c r="BC1" s="309">
        <v>55</v>
      </c>
      <c r="BD1" s="309">
        <v>56</v>
      </c>
      <c r="BE1" s="309">
        <v>57</v>
      </c>
      <c r="BF1" s="309">
        <v>58</v>
      </c>
      <c r="BG1" s="309">
        <v>59</v>
      </c>
      <c r="BH1" s="309">
        <v>60</v>
      </c>
      <c r="BI1" s="309">
        <v>61</v>
      </c>
      <c r="BJ1" s="309">
        <v>62</v>
      </c>
      <c r="BK1" s="309">
        <v>63</v>
      </c>
      <c r="BL1" s="309">
        <v>64</v>
      </c>
      <c r="BM1" s="309">
        <v>65</v>
      </c>
      <c r="BN1" s="309">
        <v>66</v>
      </c>
      <c r="BO1" s="309">
        <v>67</v>
      </c>
      <c r="BP1" s="309">
        <v>68</v>
      </c>
      <c r="BQ1" s="309">
        <v>69</v>
      </c>
      <c r="BR1" s="309">
        <v>71</v>
      </c>
    </row>
    <row r="2" spans="1:71" ht="42.65" customHeight="1" thickBot="1">
      <c r="A2" s="10" t="s">
        <v>123</v>
      </c>
      <c r="B2" s="10" t="s">
        <v>336</v>
      </c>
      <c r="C2" s="10" t="s">
        <v>292</v>
      </c>
      <c r="D2" s="10" t="s">
        <v>337</v>
      </c>
      <c r="E2" s="15">
        <f ca="1">Start.listina!O7</f>
        <v>16</v>
      </c>
      <c r="F2" s="15">
        <f ca="1">IF(MOD($E$2,2)&gt;0,0,1)</f>
        <v>1</v>
      </c>
      <c r="G2" s="15">
        <f ca="1">E2*2</f>
        <v>32</v>
      </c>
      <c r="I2" s="10" t="s">
        <v>338</v>
      </c>
      <c r="K2" s="313" t="s">
        <v>339</v>
      </c>
      <c r="L2" s="314">
        <v>2</v>
      </c>
      <c r="M2" s="314"/>
      <c r="N2" s="314">
        <v>1</v>
      </c>
      <c r="O2" s="314"/>
      <c r="P2" s="314" t="s">
        <v>340</v>
      </c>
      <c r="Q2" s="314"/>
      <c r="R2" s="313" t="s">
        <v>341</v>
      </c>
      <c r="S2" s="314"/>
      <c r="T2" s="314"/>
      <c r="V2" s="313" t="s">
        <v>342</v>
      </c>
      <c r="W2" s="314">
        <v>4</v>
      </c>
      <c r="X2" s="314"/>
      <c r="Y2" s="314">
        <v>2</v>
      </c>
      <c r="Z2" s="314"/>
      <c r="AA2" s="314">
        <v>1</v>
      </c>
      <c r="AB2" s="314"/>
      <c r="AC2" s="314" t="s">
        <v>340</v>
      </c>
      <c r="AD2" s="315" t="s">
        <v>343</v>
      </c>
      <c r="AE2" s="314"/>
      <c r="AF2" s="314"/>
      <c r="AH2" s="313" t="s">
        <v>344</v>
      </c>
      <c r="AI2" s="314">
        <v>8</v>
      </c>
      <c r="AJ2" s="314"/>
      <c r="AK2" s="314">
        <v>4</v>
      </c>
      <c r="AL2" s="314"/>
      <c r="AM2" s="314">
        <v>2</v>
      </c>
      <c r="AN2" s="314"/>
      <c r="AO2" s="314">
        <v>1</v>
      </c>
      <c r="AP2" s="314"/>
      <c r="AQ2" s="314" t="s">
        <v>340</v>
      </c>
      <c r="AR2" s="314"/>
      <c r="AS2" s="313" t="s">
        <v>345</v>
      </c>
      <c r="AT2" s="314">
        <v>16</v>
      </c>
      <c r="AU2" s="314"/>
      <c r="AV2" s="314">
        <v>8</v>
      </c>
      <c r="AW2" s="314"/>
      <c r="AX2" s="314">
        <v>4</v>
      </c>
      <c r="AY2" s="314"/>
      <c r="AZ2" s="314">
        <v>2</v>
      </c>
      <c r="BA2" s="314"/>
      <c r="BB2" s="314">
        <v>1</v>
      </c>
      <c r="BC2" s="314"/>
      <c r="BD2" s="314" t="s">
        <v>340</v>
      </c>
      <c r="BE2" s="314"/>
      <c r="BF2" s="313" t="s">
        <v>346</v>
      </c>
      <c r="BG2" s="314">
        <v>32</v>
      </c>
      <c r="BH2" s="314"/>
      <c r="BI2" s="314">
        <v>16</v>
      </c>
      <c r="BJ2" s="314"/>
      <c r="BK2" s="314">
        <v>8</v>
      </c>
      <c r="BL2" s="314"/>
      <c r="BM2" s="314">
        <v>4</v>
      </c>
      <c r="BN2" s="314"/>
      <c r="BO2" s="314">
        <v>2</v>
      </c>
      <c r="BP2" s="314"/>
      <c r="BQ2" s="314">
        <v>1</v>
      </c>
      <c r="BR2" s="314" t="s">
        <v>340</v>
      </c>
      <c r="BS2" s="314"/>
    </row>
    <row r="3" spans="1:71">
      <c r="A3" s="2">
        <f t="shared" ref="A3:A66" ca="1" si="0">E3+F3</f>
        <v>1</v>
      </c>
      <c r="B3" s="62" t="str">
        <f ca="1">IF(E3&gt;$G$2," - ",D3)</f>
        <v>1 Carreau Brno - Michálek Tomáš</v>
      </c>
      <c r="C3" s="63" t="str">
        <f ca="1">IF(E3&gt;$G$2,"",Nasazení!B3)</f>
        <v>A1</v>
      </c>
      <c r="D3" s="62" t="str">
        <f ca="1">IF(TYPE(VLOOKUP(C3,Výsledky_skupin!$A$3:$B$130,2,0))&gt;4," -",VLOOKUP(C3,Výsledky_skupin!$A$3:$B$130,2,0))</f>
        <v>1 Carreau Brno - Michálek Tomáš</v>
      </c>
      <c r="E3" s="2">
        <v>1</v>
      </c>
      <c r="F3">
        <f t="shared" ref="F3:F66" ca="1" si="1">IF(E3&gt;$E$2,IF($F$2&gt;0,IF(MOD(E3,2)=0,-1,1),0),0)</f>
        <v>0</v>
      </c>
      <c r="I3" s="316" t="str">
        <f ca="1">IF(OR(TRIM(N3)="-",TRIM(N3)="")," ",N3)</f>
        <v>1 Carreau Brno - Michálek Tomáš</v>
      </c>
      <c r="L3" s="316" t="str">
        <f ca="1">VLOOKUP($A3,'KO4'!$G$6:$H$7,2,0)</f>
        <v>1 Carreau Brno - Michálek Tomáš</v>
      </c>
      <c r="N3" s="316" t="str">
        <f ca="1">VLOOKUP($A3,'KO4'!$K$6:$L$7,2,0)</f>
        <v>1 Carreau Brno - Michálek Tomáš</v>
      </c>
      <c r="W3" s="316" t="str">
        <f ca="1">VLOOKUP($A3,'KO8'!$G$6:$H$15,2,0)</f>
        <v>1 Carreau Brno - Michálek Tomáš</v>
      </c>
      <c r="X3" s="309">
        <f ca="1">VLOOKUP($A3,'KO8'!$G$6:$I$15,3,0)</f>
        <v>1</v>
      </c>
      <c r="Y3" s="316" t="str">
        <f ca="1">VLOOKUP($A3,'KO8'!$K$10:$L$11,2,0)</f>
        <v>1 Carreau Brno - Michálek Tomáš</v>
      </c>
      <c r="Z3" s="309">
        <f ca="1">VLOOKUP($A3,'KO8'!$K$10:$M$11,3,0)</f>
        <v>13</v>
      </c>
      <c r="AA3" s="316" t="str">
        <f ca="1">VLOOKUP($A3,'KO8'!$O$10:$P$11,2,0)</f>
        <v>1 Carreau Brno - Michálek Tomáš</v>
      </c>
      <c r="AI3" s="316" t="str">
        <f ca="1">VLOOKUP($A3,'KO16'!$G$6:$H$31,2,0)</f>
        <v>1 Carreau Brno - Michálek Tomáš</v>
      </c>
      <c r="AJ3" s="309">
        <f ca="1">VLOOKUP($A3,'KO16'!$G$6:$I$31,3,0)</f>
        <v>1</v>
      </c>
      <c r="AK3" s="316" t="str">
        <f ca="1">VLOOKUP($A3,'KO16'!$K$10:$L$27,2,0)</f>
        <v>1 Carreau Brno - Michálek Tomáš</v>
      </c>
      <c r="AL3" s="309">
        <f ca="1">VLOOKUP($A3,'KO16'!$K$10:$M$27,3,0)</f>
        <v>1</v>
      </c>
      <c r="AM3" s="316" t="str">
        <f ca="1">VLOOKUP($A3,'KO16'!$O$18:$P$19,2,0)</f>
        <v>1 Carreau Brno - Michálek Tomáš</v>
      </c>
      <c r="AN3" s="309">
        <f ca="1">VLOOKUP($A3,'KO16'!$O$18:$Q$19,3,0)</f>
        <v>13</v>
      </c>
      <c r="AO3" s="316" t="str">
        <f ca="1">VLOOKUP($A3,'KO16'!$S$18:$T$19,2,0)</f>
        <v>1 Carreau Brno - Michálek Tomáš</v>
      </c>
      <c r="AT3" s="316" t="str">
        <f ca="1">VLOOKUP($A3,'KO32'!$G$6:$H$63,2,0)</f>
        <v>1 Carreau Brno - Michálek Tomáš</v>
      </c>
      <c r="AU3" s="309">
        <f ca="1">VLOOKUP($A3,'KO32'!$G$6:$I$63,3,0)</f>
        <v>13</v>
      </c>
      <c r="AV3" s="316" t="str">
        <f ca="1">VLOOKUP($A3,'KO32'!$K$10:$L$59,2,0)</f>
        <v>1 Carreau Brno - Michálek Tomáš</v>
      </c>
      <c r="AW3" s="309">
        <f ca="1">VLOOKUP($A3,'KO32'!$K$10:$M$59,3,0)</f>
        <v>1</v>
      </c>
      <c r="AX3" s="316" t="str">
        <f ca="1">VLOOKUP($A3,'KO32'!$O$18:$P$51,2,0)</f>
        <v>1 Carreau Brno - Michálek Tomáš</v>
      </c>
      <c r="AY3" s="309">
        <f ca="1">VLOOKUP($A3,'KO32'!$O$18:$Q$51,3,0)</f>
        <v>1</v>
      </c>
      <c r="AZ3" s="316" t="str">
        <f ca="1">VLOOKUP($A3,'KO32'!$S$34:$T$35,2,0)</f>
        <v>1 Carreau Brno - Michálek Tomáš</v>
      </c>
      <c r="BA3" s="309">
        <f ca="1">VLOOKUP($A3,'KO32'!$S$34:$U$35,3,0)</f>
        <v>13</v>
      </c>
      <c r="BB3" s="316" t="str">
        <f ca="1">VLOOKUP($A3,'KO32'!$W$34:$X$35,2,0)</f>
        <v>1 Carreau Brno - Michálek Tomáš</v>
      </c>
      <c r="BG3" s="316" t="str">
        <f ca="1">VLOOKUP($A3,'KO64'!$G$6:$H$127,2,0)</f>
        <v>1 Carreau Brno - Michálek Tomáš</v>
      </c>
      <c r="BH3" s="309">
        <f ca="1">VLOOKUP($A3,'KO64'!$G$6:$I$127,3,0)</f>
        <v>0</v>
      </c>
      <c r="BI3" s="316" t="str">
        <f ca="1">VLOOKUP($A3,'KO64'!$K$10:$L$123,2,0)</f>
        <v xml:space="preserve"> </v>
      </c>
      <c r="BJ3" s="309">
        <f ca="1">VLOOKUP($A3,'KO64'!$K$10:$M$123,3,0)</f>
        <v>0</v>
      </c>
      <c r="BK3" s="316" t="str">
        <f ca="1">VLOOKUP($A3,'KO64'!$O$18:$P$115,2,0)</f>
        <v xml:space="preserve"> </v>
      </c>
      <c r="BL3" s="309">
        <f ca="1">VLOOKUP($A3,'KO64'!$O$18:$Q$115,3,0)</f>
        <v>0</v>
      </c>
      <c r="BM3" s="316" t="str">
        <f ca="1">VLOOKUP($A3,'KO64'!$S$34:$T$99,2,0)</f>
        <v xml:space="preserve"> </v>
      </c>
      <c r="BN3" s="309">
        <f ca="1">VLOOKUP($A3,'KO64'!$S$34:$U$99,3,0)</f>
        <v>0</v>
      </c>
      <c r="BO3" s="316" t="str">
        <f ca="1">VLOOKUP($A3,'KO64'!$W$66:$X$67,2,0)</f>
        <v xml:space="preserve"> </v>
      </c>
      <c r="BP3" s="309">
        <f ca="1">VLOOKUP($A3,'KO64'!$W$66:$Y$67,3,0)</f>
        <v>0</v>
      </c>
      <c r="BQ3" s="316" t="str">
        <f ca="1">VLOOKUP($A3,'KO64'!$AA$66:$AB$67,2,0)</f>
        <v xml:space="preserve"> </v>
      </c>
    </row>
    <row r="4" spans="1:71">
      <c r="A4" s="2">
        <f t="shared" ca="1" si="0"/>
        <v>2</v>
      </c>
      <c r="B4" s="62" t="str">
        <f ca="1">IF(E4&gt;$G$2," - ",D4)</f>
        <v>2 PC Sokol Lipník - Froňková Kateřina</v>
      </c>
      <c r="C4" s="63" t="str">
        <f ca="1">IF(E4&gt;$G$2,"",Nasazení!B4)</f>
        <v>B1</v>
      </c>
      <c r="D4" s="62" t="str">
        <f ca="1">IF(TYPE(VLOOKUP(C4,Výsledky_skupin!$A$3:$B$130,2,0))&gt;4," -",VLOOKUP(C4,Výsledky_skupin!$A$3:$B$130,2,0))</f>
        <v>2 PC Sokol Lipník - Froňková Kateřina</v>
      </c>
      <c r="E4" s="2">
        <v>2</v>
      </c>
      <c r="F4">
        <f t="shared" ca="1" si="1"/>
        <v>0</v>
      </c>
      <c r="I4" s="316" t="str">
        <f ca="1">IF(OR(TRIM(N4)="-",TRIM(N4)="")," ",N4)</f>
        <v>29 Carreau Brno - Grepl Jiří</v>
      </c>
      <c r="L4" s="316" t="str">
        <f ca="1">VLOOKUP($A4,'KO4'!$G$6:$H$7,2,0)</f>
        <v>29 Carreau Brno - Grepl Jiří</v>
      </c>
      <c r="N4" s="316" t="str">
        <f ca="1">VLOOKUP($A4,'KO4'!$K$6:$L$7,2,0)</f>
        <v>29 Carreau Brno - Grepl Jiří</v>
      </c>
      <c r="W4" s="316" t="str">
        <f ca="1">VLOOKUP($A4,'KO8'!$G$6:$H$15,2,0)</f>
        <v>26 HAVAJ CB - Koreš st. Jiří</v>
      </c>
      <c r="X4" s="309">
        <f ca="1">VLOOKUP($A4,'KO8'!$G$6:$I$15,3,0)</f>
        <v>0</v>
      </c>
      <c r="Y4" s="316" t="str">
        <f ca="1">VLOOKUP($A4,'KO8'!$K$10:$L$11,2,0)</f>
        <v>29 Carreau Brno - Grepl Jiří</v>
      </c>
      <c r="Z4" s="309">
        <f ca="1">VLOOKUP($A4,'KO8'!$K$10:$M$11,3,0)</f>
        <v>3</v>
      </c>
      <c r="AA4" s="316" t="str">
        <f ca="1">VLOOKUP($A4,'KO8'!$O$10:$P$11,2,0)</f>
        <v>29 Carreau Brno - Grepl Jiří</v>
      </c>
      <c r="AI4" s="316" t="str">
        <f ca="1">VLOOKUP($A4,'KO16'!$G$6:$H$31,2,0)</f>
        <v>17 SK Sahara Vědomice - Demčíková Jiřina</v>
      </c>
      <c r="AJ4" s="309">
        <f ca="1">VLOOKUP($A4,'KO16'!$G$6:$I$31,3,0)</f>
        <v>5</v>
      </c>
      <c r="AK4" s="316" t="str">
        <f ca="1">VLOOKUP($A4,'KO16'!$K$10:$L$27,2,0)</f>
        <v>26 HAVAJ CB - Koreš st. Jiří</v>
      </c>
      <c r="AL4" s="309">
        <f ca="1">VLOOKUP($A4,'KO16'!$K$10:$M$27,3,0)</f>
        <v>0</v>
      </c>
      <c r="AM4" s="316" t="str">
        <f ca="1">VLOOKUP($A4,'KO16'!$O$18:$P$19,2,0)</f>
        <v>29 Carreau Brno - Grepl Jiří</v>
      </c>
      <c r="AN4" s="309">
        <f ca="1">VLOOKUP($A4,'KO16'!$O$18:$Q$19,3,0)</f>
        <v>3</v>
      </c>
      <c r="AO4" s="316" t="str">
        <f ca="1">VLOOKUP($A4,'KO16'!$S$18:$T$19,2,0)</f>
        <v>29 Carreau Brno - Grepl Jiří</v>
      </c>
      <c r="AT4" s="316" t="str">
        <f ca="1">VLOOKUP($A4,'KO32'!$G$6:$H$63,2,0)</f>
        <v>2 PC Sokol Lipník - Froňková Kateřina</v>
      </c>
      <c r="AU4" s="309">
        <f ca="1">VLOOKUP($A4,'KO32'!$G$6:$I$63,3,0)</f>
        <v>11</v>
      </c>
      <c r="AV4" s="316" t="str">
        <f ca="1">VLOOKUP($A4,'KO32'!$K$10:$L$59,2,0)</f>
        <v>17 SK Sahara Vědomice - Demčíková Jiřina</v>
      </c>
      <c r="AW4" s="309">
        <f ca="1">VLOOKUP($A4,'KO32'!$K$10:$M$59,3,0)</f>
        <v>5</v>
      </c>
      <c r="AX4" s="316" t="str">
        <f ca="1">VLOOKUP($A4,'KO32'!$O$18:$P$51,2,0)</f>
        <v>26 HAVAJ CB - Koreš st. Jiří</v>
      </c>
      <c r="AY4" s="309">
        <f ca="1">VLOOKUP($A4,'KO32'!$O$18:$Q$51,3,0)</f>
        <v>0</v>
      </c>
      <c r="AZ4" s="316" t="str">
        <f ca="1">VLOOKUP($A4,'KO32'!$S$34:$T$35,2,0)</f>
        <v>29 Carreau Brno - Grepl Jiří</v>
      </c>
      <c r="BA4" s="309">
        <f ca="1">VLOOKUP($A4,'KO32'!$S$34:$U$35,3,0)</f>
        <v>3</v>
      </c>
      <c r="BB4" s="316" t="str">
        <f ca="1">VLOOKUP($A4,'KO32'!$W$34:$X$35,2,0)</f>
        <v>29 Carreau Brno - Grepl Jiří</v>
      </c>
      <c r="BG4" s="316" t="str">
        <f ca="1">VLOOKUP($A4,'KO64'!$G$6:$H$127,2,0)</f>
        <v>2 PC Sokol Lipník - Froňková Kateřina</v>
      </c>
      <c r="BH4" s="309">
        <f ca="1">VLOOKUP($A4,'KO64'!$G$6:$I$127,3,0)</f>
        <v>0</v>
      </c>
      <c r="BI4" s="316" t="str">
        <f ca="1">VLOOKUP($A4,'KO64'!$K$10:$L$123,2,0)</f>
        <v xml:space="preserve"> </v>
      </c>
      <c r="BJ4" s="309">
        <f ca="1">VLOOKUP($A4,'KO64'!$K$10:$M$123,3,0)</f>
        <v>0</v>
      </c>
      <c r="BK4" s="316" t="str">
        <f ca="1">VLOOKUP($A4,'KO64'!$O$18:$P$115,2,0)</f>
        <v xml:space="preserve"> </v>
      </c>
      <c r="BL4" s="309">
        <f ca="1">VLOOKUP($A4,'KO64'!$O$18:$Q$115,3,0)</f>
        <v>0</v>
      </c>
      <c r="BM4" s="316" t="str">
        <f ca="1">VLOOKUP($A4,'KO64'!$S$34:$T$99,2,0)</f>
        <v xml:space="preserve"> </v>
      </c>
      <c r="BN4" s="309">
        <f ca="1">VLOOKUP($A4,'KO64'!$S$34:$U$99,3,0)</f>
        <v>0</v>
      </c>
      <c r="BO4" s="316" t="str">
        <f ca="1">VLOOKUP($A4,'KO64'!$W$66:$X$67,2,0)</f>
        <v xml:space="preserve"> </v>
      </c>
      <c r="BP4" s="309">
        <f ca="1">VLOOKUP($A4,'KO64'!$W$66:$Y$67,3,0)</f>
        <v>0</v>
      </c>
      <c r="BQ4" s="316" t="str">
        <f ca="1">VLOOKUP($A4,'KO64'!$AA$66:$AB$67,2,0)</f>
        <v xml:space="preserve"> </v>
      </c>
    </row>
    <row r="5" spans="1:71">
      <c r="A5" s="2">
        <f t="shared" ca="1" si="0"/>
        <v>3</v>
      </c>
      <c r="B5" s="62" t="str">
        <f t="shared" ref="B5:B12" ca="1" si="2">IF(E5&gt;$G$2," - ",D5)</f>
        <v>3 PC Sokol Lipník - Konšel Jakub</v>
      </c>
      <c r="C5" s="63" t="str">
        <f ca="1">IF(E5&gt;$G$2,"",Nasazení!B5)</f>
        <v>C1</v>
      </c>
      <c r="D5" s="62" t="str">
        <f ca="1">IF(TYPE(VLOOKUP(C5,Výsledky_skupin!$A$3:$B$130,2,0))&gt;4," -",VLOOKUP(C5,Výsledky_skupin!$A$3:$B$130,2,0))</f>
        <v>3 PC Sokol Lipník - Konšel Jakub</v>
      </c>
      <c r="E5" s="2">
        <v>3</v>
      </c>
      <c r="F5">
        <f t="shared" ca="1" si="1"/>
        <v>0</v>
      </c>
      <c r="I5" s="316" t="str">
        <f ca="1">IF(OR(TRIM(P5)="-",TRIM(P5)="")," ",P5)</f>
        <v>26 HAVAJ CB - Koreš st. Jiří</v>
      </c>
      <c r="P5" s="316" t="str">
        <f ca="1">VLOOKUP($A5,'KO4'!$K$16:$L$17,2,0)</f>
        <v>26 HAVAJ CB - Koreš st. Jiří</v>
      </c>
      <c r="W5" s="316" t="str">
        <f ca="1">VLOOKUP($A5,'KO8'!$G$6:$H$15,2,0)</f>
        <v>29 Carreau Brno - Grepl Jiří</v>
      </c>
      <c r="X5" s="309">
        <f ca="1">VLOOKUP($A5,'KO8'!$G$6:$I$15,3,0)</f>
        <v>1</v>
      </c>
      <c r="Y5" s="316" t="str">
        <f ca="1">VLOOKUP($A5,'KO8'!$K$10:$L$21,2,0)</f>
        <v>26 HAVAJ CB - Koreš st. Jiří</v>
      </c>
      <c r="Z5" s="309">
        <f ca="1">VLOOKUP($A5,'KO8'!$K$10:$M$21,3,0)</f>
        <v>13</v>
      </c>
      <c r="AA5" s="316" t="str">
        <f ca="1">VLOOKUP($A5,'KO8'!$O$10:$P$21,2,0)</f>
        <v>26 HAVAJ CB - Koreš st. Jiří</v>
      </c>
      <c r="AC5" s="316" t="str">
        <f ca="1">VLOOKUP($A5,'KO8'!$O$20:$P$21,2,0)</f>
        <v>26 HAVAJ CB - Koreš st. Jiří</v>
      </c>
      <c r="AI5" s="316" t="str">
        <f ca="1">VLOOKUP($A5,'KO16'!$G$6:$H$31,2,0)</f>
        <v>29 Carreau Brno - Grepl Jiří</v>
      </c>
      <c r="AJ5" s="309">
        <f ca="1">VLOOKUP($A5,'KO16'!$G$6:$I$31,3,0)</f>
        <v>13</v>
      </c>
      <c r="AK5" s="316" t="str">
        <f ca="1">VLOOKUP($A5,'KO16'!$K$10:$L$27,2,0)</f>
        <v>29 Carreau Brno - Grepl Jiří</v>
      </c>
      <c r="AL5" s="309">
        <f ca="1">VLOOKUP($A5,'KO16'!$K$10:$M$27,3,0)</f>
        <v>1</v>
      </c>
      <c r="AM5" s="316" t="str">
        <f ca="1">VLOOKUP($A5,'KO16'!$O$18:$P$33,2,0)</f>
        <v>26 HAVAJ CB - Koreš st. Jiří</v>
      </c>
      <c r="AN5" s="309">
        <f ca="1">VLOOKUP($A5,'KO16'!$O$18:$Q$33,3,0)</f>
        <v>13</v>
      </c>
      <c r="AQ5" s="316" t="str">
        <f ca="1">VLOOKUP($A5,'KO16'!$S$32:$T$33,2,0)</f>
        <v>26 HAVAJ CB - Koreš st. Jiří</v>
      </c>
      <c r="AT5" s="316" t="str">
        <f ca="1">VLOOKUP($A5,'KO32'!$G$6:$H$63,2,0)</f>
        <v>29 Carreau Brno - Grepl Jiří</v>
      </c>
      <c r="AU5" s="309">
        <f ca="1">VLOOKUP($A5,'KO32'!$G$6:$I$63,3,0)</f>
        <v>13</v>
      </c>
      <c r="AV5" s="316" t="str">
        <f ca="1">VLOOKUP($A5,'KO32'!$K$10:$L$59,2,0)</f>
        <v>29 Carreau Brno - Grepl Jiří</v>
      </c>
      <c r="AW5" s="309">
        <f ca="1">VLOOKUP($A5,'KO32'!$K$10:$M$59,3,0)</f>
        <v>13</v>
      </c>
      <c r="AX5" s="316" t="str">
        <f ca="1">VLOOKUP($A5,'KO32'!$O$18:$P$51,2,0)</f>
        <v>29 Carreau Brno - Grepl Jiří</v>
      </c>
      <c r="AY5" s="309">
        <f ca="1">VLOOKUP($A5,'KO32'!$O$18:$Q$51,3,0)</f>
        <v>1</v>
      </c>
      <c r="AZ5" s="316" t="str">
        <f ca="1">VLOOKUP($A5,'KO32'!$S$34:$T$57,2,0)</f>
        <v>26 HAVAJ CB - Koreš st. Jiří</v>
      </c>
      <c r="BA5" s="309">
        <f ca="1">VLOOKUP($A5,'KO32'!$S$34:$U$57,3,0)</f>
        <v>13</v>
      </c>
      <c r="BD5" s="316" t="str">
        <f ca="1">VLOOKUP($A5,'KO32'!$W$56:$X$57,2,0)</f>
        <v>26 HAVAJ CB - Koreš st. Jiří</v>
      </c>
      <c r="BG5" s="316" t="str">
        <f ca="1">VLOOKUP($A5,'KO64'!$G$6:$H$127,2,0)</f>
        <v>3 PC Sokol Lipník - Konšel Jakub</v>
      </c>
      <c r="BH5" s="309">
        <f ca="1">VLOOKUP($A5,'KO64'!$G$6:$I$127,3,0)</f>
        <v>0</v>
      </c>
      <c r="BI5" s="316" t="str">
        <f ca="1">VLOOKUP($A5,'KO64'!$K$10:$L$123,2,0)</f>
        <v xml:space="preserve"> </v>
      </c>
      <c r="BJ5" s="309">
        <f ca="1">VLOOKUP($A5,'KO64'!$K$10:$M$123,3,0)</f>
        <v>0</v>
      </c>
      <c r="BK5" s="316" t="str">
        <f ca="1">VLOOKUP($A5,'KO64'!$O$18:$P$115,2,0)</f>
        <v xml:space="preserve"> </v>
      </c>
      <c r="BL5" s="309">
        <f ca="1">VLOOKUP($A5,'KO64'!$O$18:$Q$115,3,0)</f>
        <v>0</v>
      </c>
      <c r="BM5" s="316" t="str">
        <f ca="1">VLOOKUP($A5,'KO64'!$S$34:$T$99,2,0)</f>
        <v xml:space="preserve"> </v>
      </c>
      <c r="BN5" s="309">
        <f ca="1">VLOOKUP($A5,'KO64'!$S$34:$U$99,3,0)</f>
        <v>0</v>
      </c>
      <c r="BO5" s="316" t="str">
        <f ca="1">VLOOKUP($A5,'KO64'!$W$66:$X$107,2,0)</f>
        <v xml:space="preserve"> </v>
      </c>
      <c r="BP5" s="309">
        <f ca="1">VLOOKUP($A5,'KO64'!$W$66:$Y$107,3,0)</f>
        <v>0</v>
      </c>
      <c r="BR5" s="316" t="str">
        <f ca="1">VLOOKUP($A5,'KO64'!$AA$106:$AB$107,2,0)</f>
        <v xml:space="preserve"> </v>
      </c>
    </row>
    <row r="6" spans="1:71">
      <c r="A6" s="2">
        <f t="shared" ca="1" si="0"/>
        <v>4</v>
      </c>
      <c r="B6" s="62" t="str">
        <f t="shared" ca="1" si="2"/>
        <v>4 CdP Loděnice - Resl Jan</v>
      </c>
      <c r="C6" s="63" t="str">
        <f ca="1">IF(E6&gt;$G$2,"",Nasazení!B6)</f>
        <v>D1</v>
      </c>
      <c r="D6" s="62" t="str">
        <f ca="1">IF(TYPE(VLOOKUP(C6,Výsledky_skupin!$A$3:$B$130,2,0))&gt;4," -",VLOOKUP(C6,Výsledky_skupin!$A$3:$B$130,2,0))</f>
        <v>4 CdP Loděnice - Resl Jan</v>
      </c>
      <c r="E6" s="2">
        <v>4</v>
      </c>
      <c r="F6">
        <f t="shared" ca="1" si="1"/>
        <v>0</v>
      </c>
      <c r="I6" s="316" t="str">
        <f ca="1">IF(OR(TRIM(P6)="-",TRIM(P6)="")," ",P6)</f>
        <v>4 CdP Loděnice - Resl Jan</v>
      </c>
      <c r="P6" s="316" t="str">
        <f ca="1">VLOOKUP($A6,'KO4'!$K$16:$L$17,2,0)</f>
        <v>4 CdP Loděnice - Resl Jan</v>
      </c>
      <c r="W6" s="316" t="str">
        <f ca="1">VLOOKUP($A6,'KO8'!$G$6:$H$15,2,0)</f>
        <v>4 CdP Loděnice - Resl Jan</v>
      </c>
      <c r="X6" s="309">
        <f ca="1">VLOOKUP($A6,'KO8'!$G$6:$I$15,3,0)</f>
        <v>0</v>
      </c>
      <c r="Y6" s="316" t="str">
        <f ca="1">VLOOKUP($A6,'KO8'!$K$10:$L$21,2,0)</f>
        <v>4 CdP Loděnice - Resl Jan</v>
      </c>
      <c r="Z6" s="309">
        <f ca="1">VLOOKUP($A6,'KO8'!$K$10:$M$21,3,0)</f>
        <v>11</v>
      </c>
      <c r="AA6" s="316" t="str">
        <f ca="1">VLOOKUP($A6,'KO8'!$O$10:$P$21,2,0)</f>
        <v>4 CdP Loděnice - Resl Jan</v>
      </c>
      <c r="AC6" s="316" t="str">
        <f ca="1">VLOOKUP($A6,'KO8'!$O$20:$P$21,2,0)</f>
        <v>4 CdP Loděnice - Resl Jan</v>
      </c>
      <c r="AI6" s="316" t="str">
        <f ca="1">VLOOKUP($A6,'KO16'!$G$6:$H$31,2,0)</f>
        <v>4 CdP Loděnice - Resl Jan</v>
      </c>
      <c r="AJ6" s="309">
        <f ca="1">VLOOKUP($A6,'KO16'!$G$6:$I$31,3,0)</f>
        <v>13</v>
      </c>
      <c r="AK6" s="316" t="str">
        <f ca="1">VLOOKUP($A6,'KO16'!$K$10:$L$27,2,0)</f>
        <v>4 CdP Loděnice - Resl Jan</v>
      </c>
      <c r="AL6" s="309">
        <f ca="1">VLOOKUP($A6,'KO16'!$K$10:$M$27,3,0)</f>
        <v>0</v>
      </c>
      <c r="AM6" s="316" t="str">
        <f ca="1">VLOOKUP($A6,'KO16'!$O$18:$P$33,2,0)</f>
        <v>4 CdP Loděnice - Resl Jan</v>
      </c>
      <c r="AN6" s="309">
        <f ca="1">VLOOKUP($A6,'KO16'!$O$18:$Q$33,3,0)</f>
        <v>11</v>
      </c>
      <c r="AQ6" s="316" t="str">
        <f ca="1">VLOOKUP($A6,'KO16'!$S$32:$T$33,2,0)</f>
        <v>4 CdP Loděnice - Resl Jan</v>
      </c>
      <c r="AT6" s="316" t="str">
        <f ca="1">VLOOKUP($A6,'KO32'!$G$6:$H$63,2,0)</f>
        <v>4 CdP Loděnice - Resl Jan</v>
      </c>
      <c r="AU6" s="309">
        <f ca="1">VLOOKUP($A6,'KO32'!$G$6:$I$63,3,0)</f>
        <v>13</v>
      </c>
      <c r="AV6" s="316" t="str">
        <f ca="1">VLOOKUP($A6,'KO32'!$K$10:$L$59,2,0)</f>
        <v>4 CdP Loděnice - Resl Jan</v>
      </c>
      <c r="AW6" s="309">
        <f ca="1">VLOOKUP($A6,'KO32'!$K$10:$M$59,3,0)</f>
        <v>13</v>
      </c>
      <c r="AX6" s="316" t="str">
        <f ca="1">VLOOKUP($A6,'KO32'!$O$18:$P$51,2,0)</f>
        <v>4 CdP Loděnice - Resl Jan</v>
      </c>
      <c r="AY6" s="309">
        <f ca="1">VLOOKUP($A6,'KO32'!$O$18:$Q$51,3,0)</f>
        <v>0</v>
      </c>
      <c r="AZ6" s="316" t="str">
        <f ca="1">VLOOKUP($A6,'KO32'!$S$34:$T$57,2,0)</f>
        <v>4 CdP Loděnice - Resl Jan</v>
      </c>
      <c r="BA6" s="309">
        <f ca="1">VLOOKUP($A6,'KO32'!$S$34:$U$57,3,0)</f>
        <v>11</v>
      </c>
      <c r="BD6" s="316" t="str">
        <f ca="1">VLOOKUP($A6,'KO32'!$W$56:$X$57,2,0)</f>
        <v>4 CdP Loděnice - Resl Jan</v>
      </c>
      <c r="BG6" s="316" t="str">
        <f ca="1">VLOOKUP($A6,'KO64'!$G$6:$H$127,2,0)</f>
        <v>4 CdP Loděnice - Resl Jan</v>
      </c>
      <c r="BH6" s="309">
        <f ca="1">VLOOKUP($A6,'KO64'!$G$6:$I$127,3,0)</f>
        <v>0</v>
      </c>
      <c r="BI6" s="316" t="str">
        <f ca="1">VLOOKUP($A6,'KO64'!$K$10:$L$123,2,0)</f>
        <v xml:space="preserve"> </v>
      </c>
      <c r="BJ6" s="309">
        <f ca="1">VLOOKUP($A6,'KO64'!$K$10:$M$123,3,0)</f>
        <v>0</v>
      </c>
      <c r="BK6" s="316" t="str">
        <f ca="1">VLOOKUP($A6,'KO64'!$O$18:$P$115,2,0)</f>
        <v xml:space="preserve"> </v>
      </c>
      <c r="BL6" s="309">
        <f ca="1">VLOOKUP($A6,'KO64'!$O$18:$Q$115,3,0)</f>
        <v>0</v>
      </c>
      <c r="BM6" s="316" t="str">
        <f ca="1">VLOOKUP($A6,'KO64'!$S$34:$T$99,2,0)</f>
        <v xml:space="preserve"> </v>
      </c>
      <c r="BN6" s="309">
        <f ca="1">VLOOKUP($A6,'KO64'!$S$34:$U$99,3,0)</f>
        <v>0</v>
      </c>
      <c r="BO6" s="316" t="str">
        <f ca="1">VLOOKUP($A6,'KO64'!$W$66:$X$107,2,0)</f>
        <v xml:space="preserve"> </v>
      </c>
      <c r="BP6" s="309">
        <f ca="1">VLOOKUP($A6,'KO64'!$W$66:$Y$107,3,0)</f>
        <v>0</v>
      </c>
      <c r="BR6" s="316" t="str">
        <f ca="1">VLOOKUP($A6,'KO64'!$AA$106:$AB$107,2,0)</f>
        <v xml:space="preserve"> </v>
      </c>
    </row>
    <row r="7" spans="1:71">
      <c r="A7" s="2">
        <f t="shared" ca="1" si="0"/>
        <v>5</v>
      </c>
      <c r="B7" s="62" t="str">
        <f t="shared" ca="1" si="2"/>
        <v>5 TOP - ORLOVÁ - Bačo David</v>
      </c>
      <c r="C7" s="63" t="str">
        <f ca="1">IF(E7&gt;$G$2,"",Nasazení!B7)</f>
        <v>E1</v>
      </c>
      <c r="D7" s="62" t="str">
        <f ca="1">IF(TYPE(VLOOKUP(C7,Výsledky_skupin!$A$3:$B$130,2,0))&gt;4," -",VLOOKUP(C7,Výsledky_skupin!$A$3:$B$130,2,0))</f>
        <v>5 TOP - ORLOVÁ - Bačo David</v>
      </c>
      <c r="E7" s="2">
        <v>5</v>
      </c>
      <c r="F7">
        <f t="shared" ca="1" si="1"/>
        <v>0</v>
      </c>
      <c r="I7" s="316" t="str">
        <f ca="1">IF(OR(TRIM(S7)="-",TRIM(S7)="")," ",S7)</f>
        <v>17 SK Sahara Vědomice - Demčíková Jiřina</v>
      </c>
      <c r="S7" s="316" t="str">
        <f ca="1">VLOOKUP($A7,'Dohrávka_5-8'!$K$6:$L$13,2,0)</f>
        <v>17 SK Sahara Vědomice - Demčíková Jiřina</v>
      </c>
      <c r="AI7" s="316" t="str">
        <f ca="1">VLOOKUP($A7,'KO16'!$G$6:$H$31,2,0)</f>
        <v>5 TOP - ORLOVÁ - Bačo David</v>
      </c>
      <c r="AJ7" s="309">
        <f ca="1">VLOOKUP($A7,'KO16'!$G$6:$I$31,3,0)</f>
        <v>2</v>
      </c>
      <c r="AT7" s="316" t="str">
        <f ca="1">VLOOKUP($A7,'KO32'!$G$6:$H$63,2,0)</f>
        <v>5 TOP - ORLOVÁ - Bačo David</v>
      </c>
      <c r="AU7" s="309">
        <f ca="1">VLOOKUP($A7,'KO32'!$G$6:$I$63,3,0)</f>
        <v>1</v>
      </c>
      <c r="AV7" s="316" t="str">
        <f ca="1">VLOOKUP($A7,'KO32'!$K$10:$L$59,2,0)</f>
        <v>5 TOP - ORLOVÁ - Bačo David</v>
      </c>
      <c r="AW7" s="309">
        <f ca="1">VLOOKUP($A7,'KO32'!$K$10:$M$59,3,0)</f>
        <v>2</v>
      </c>
      <c r="BG7" s="316" t="str">
        <f ca="1">VLOOKUP($A7,'KO64'!$G$6:$H$127,2,0)</f>
        <v>5 TOP - ORLOVÁ - Bačo David</v>
      </c>
      <c r="BH7" s="309">
        <f ca="1">VLOOKUP($A7,'KO64'!$G$6:$I$127,3,0)</f>
        <v>0</v>
      </c>
      <c r="BI7" s="316" t="str">
        <f ca="1">VLOOKUP($A7,'KO64'!$K$10:$L$123,2,0)</f>
        <v xml:space="preserve"> </v>
      </c>
      <c r="BJ7" s="309">
        <f ca="1">VLOOKUP($A7,'KO64'!$K$10:$M$123,3,0)</f>
        <v>0</v>
      </c>
      <c r="BK7" s="316" t="str">
        <f ca="1">VLOOKUP($A7,'KO64'!$O$18:$P$115,2,0)</f>
        <v xml:space="preserve"> </v>
      </c>
      <c r="BL7" s="309">
        <f ca="1">VLOOKUP($A7,'KO64'!$O$18:$Q$115,3,0)</f>
        <v>0</v>
      </c>
    </row>
    <row r="8" spans="1:71">
      <c r="A8" s="2">
        <f t="shared" ca="1" si="0"/>
        <v>6</v>
      </c>
      <c r="B8" s="62" t="str">
        <f t="shared" ca="1" si="2"/>
        <v>6 CdP Loděnice - Dlouhá Ivana</v>
      </c>
      <c r="C8" s="63" t="str">
        <f ca="1">IF(E8&gt;$G$2,"",Nasazení!B8)</f>
        <v>F1</v>
      </c>
      <c r="D8" s="62" t="str">
        <f ca="1">IF(TYPE(VLOOKUP(C8,Výsledky_skupin!$A$3:$B$130,2,0))&gt;4," -",VLOOKUP(C8,Výsledky_skupin!$A$3:$B$130,2,0))</f>
        <v>6 CdP Loděnice - Dlouhá Ivana</v>
      </c>
      <c r="E8" s="2">
        <v>6</v>
      </c>
      <c r="F8">
        <f t="shared" ca="1" si="1"/>
        <v>0</v>
      </c>
      <c r="I8" s="316" t="str">
        <f ca="1">IF(OR(TRIM(S8)="-",TRIM(S8)="")," ",S8)</f>
        <v>7 HRODE KRUMSÍN - Motl Bohuslav</v>
      </c>
      <c r="S8" s="316" t="str">
        <f ca="1">VLOOKUP($A8,'Dohrávka_5-8'!$K$6:$L$13,2,0)</f>
        <v>7 HRODE KRUMSÍN - Motl Bohuslav</v>
      </c>
      <c r="AI8" s="316" t="str">
        <f ca="1">VLOOKUP($A8,'KO16'!$G$6:$H$31,2,0)</f>
        <v>21 Carreau Brno - Ferlay Franck</v>
      </c>
      <c r="AJ8" s="309">
        <f ca="1">VLOOKUP($A8,'KO16'!$G$6:$I$31,3,0)</f>
        <v>11</v>
      </c>
      <c r="AT8" s="316" t="str">
        <f ca="1">VLOOKUP($A8,'KO32'!$G$6:$H$63,2,0)</f>
        <v>6 CdP Loděnice - Dlouhá Ivana</v>
      </c>
      <c r="AU8" s="309">
        <f ca="1">VLOOKUP($A8,'KO32'!$G$6:$I$63,3,0)</f>
        <v>0</v>
      </c>
      <c r="AV8" s="316" t="str">
        <f ca="1">VLOOKUP($A8,'KO32'!$K$10:$L$59,2,0)</f>
        <v>21 Carreau Brno - Ferlay Franck</v>
      </c>
      <c r="AW8" s="309">
        <f ca="1">VLOOKUP($A8,'KO32'!$K$10:$M$59,3,0)</f>
        <v>11</v>
      </c>
      <c r="BG8" s="316" t="str">
        <f ca="1">VLOOKUP($A8,'KO64'!$G$6:$H$127,2,0)</f>
        <v>6 CdP Loděnice - Dlouhá Ivana</v>
      </c>
      <c r="BH8" s="309">
        <f ca="1">VLOOKUP($A8,'KO64'!$G$6:$I$127,3,0)</f>
        <v>0</v>
      </c>
      <c r="BI8" s="316" t="str">
        <f ca="1">VLOOKUP($A8,'KO64'!$K$10:$L$123,2,0)</f>
        <v xml:space="preserve"> </v>
      </c>
      <c r="BJ8" s="309">
        <f ca="1">VLOOKUP($A8,'KO64'!$K$10:$M$123,3,0)</f>
        <v>0</v>
      </c>
      <c r="BK8" s="316" t="str">
        <f ca="1">VLOOKUP($A8,'KO64'!$O$18:$P$115,2,0)</f>
        <v xml:space="preserve"> </v>
      </c>
      <c r="BL8" s="309">
        <f ca="1">VLOOKUP($A8,'KO64'!$O$18:$Q$115,3,0)</f>
        <v>0</v>
      </c>
    </row>
    <row r="9" spans="1:71">
      <c r="A9" s="2">
        <f t="shared" ca="1" si="0"/>
        <v>7</v>
      </c>
      <c r="B9" s="62" t="str">
        <f t="shared" ca="1" si="2"/>
        <v>26 HAVAJ CB - Koreš st. Jiří</v>
      </c>
      <c r="C9" s="63" t="str">
        <f ca="1">IF(E9&gt;$G$2,"",Nasazení!B9)</f>
        <v>G1</v>
      </c>
      <c r="D9" s="62" t="str">
        <f ca="1">IF(TYPE(VLOOKUP(C9,Výsledky_skupin!$A$3:$B$130,2,0))&gt;4," -",VLOOKUP(C9,Výsledky_skupin!$A$3:$B$130,2,0))</f>
        <v>26 HAVAJ CB - Koreš st. Jiří</v>
      </c>
      <c r="E9" s="2">
        <v>7</v>
      </c>
      <c r="F9">
        <f t="shared" ca="1" si="1"/>
        <v>0</v>
      </c>
      <c r="I9" s="316" t="str">
        <f ca="1">IF(OR(TRIM(S9)="-",TRIM(S9)="")," ",S9)</f>
        <v>5 TOP - ORLOVÁ - Bačo David</v>
      </c>
      <c r="S9" s="316" t="str">
        <f ca="1">VLOOKUP($A9,'Dohrávka_5-8'!$K$6:$L$13,2,0)</f>
        <v>5 TOP - ORLOVÁ - Bačo David</v>
      </c>
      <c r="AI9" s="316" t="str">
        <f ca="1">VLOOKUP($A9,'KO16'!$G$6:$H$31,2,0)</f>
        <v>26 HAVAJ CB - Koreš st. Jiří</v>
      </c>
      <c r="AJ9" s="309">
        <f ca="1">VLOOKUP($A9,'KO16'!$G$6:$I$31,3,0)</f>
        <v>13</v>
      </c>
      <c r="AT9" s="316" t="str">
        <f ca="1">VLOOKUP($A9,'KO32'!$G$6:$H$63,2,0)</f>
        <v>26 HAVAJ CB - Koreš st. Jiří</v>
      </c>
      <c r="AU9" s="309">
        <f ca="1">VLOOKUP($A9,'KO32'!$G$6:$I$63,3,0)</f>
        <v>13</v>
      </c>
      <c r="AV9" s="316" t="str">
        <f ca="1">VLOOKUP($A9,'KO32'!$K$10:$L$59,2,0)</f>
        <v>26 HAVAJ CB - Koreš st. Jiří</v>
      </c>
      <c r="AW9" s="309">
        <f ca="1">VLOOKUP($A9,'KO32'!$K$10:$M$59,3,0)</f>
        <v>13</v>
      </c>
      <c r="BG9" s="316" t="str">
        <f ca="1">VLOOKUP($A9,'KO64'!$G$6:$H$127,2,0)</f>
        <v>26 HAVAJ CB - Koreš st. Jiří</v>
      </c>
      <c r="BH9" s="309">
        <f ca="1">VLOOKUP($A9,'KO64'!$G$6:$I$127,3,0)</f>
        <v>0</v>
      </c>
      <c r="BI9" s="316" t="str">
        <f ca="1">VLOOKUP($A9,'KO64'!$K$10:$L$123,2,0)</f>
        <v xml:space="preserve"> </v>
      </c>
      <c r="BJ9" s="309">
        <f ca="1">VLOOKUP($A9,'KO64'!$K$10:$M$123,3,0)</f>
        <v>0</v>
      </c>
      <c r="BK9" s="316" t="str">
        <f ca="1">VLOOKUP($A9,'KO64'!$O$18:$P$115,2,0)</f>
        <v xml:space="preserve"> </v>
      </c>
      <c r="BL9" s="309">
        <f ca="1">VLOOKUP($A9,'KO64'!$O$18:$Q$115,3,0)</f>
        <v>0</v>
      </c>
    </row>
    <row r="10" spans="1:71">
      <c r="A10" s="2">
        <f t="shared" ca="1" si="0"/>
        <v>8</v>
      </c>
      <c r="B10" s="62" t="str">
        <f t="shared" ca="1" si="2"/>
        <v>8 1. KPK Vrchlabí - Vedral Filip</v>
      </c>
      <c r="C10" s="63" t="str">
        <f ca="1">IF(E10&gt;$G$2,"",Nasazení!B10)</f>
        <v>H1</v>
      </c>
      <c r="D10" s="62" t="str">
        <f ca="1">IF(TYPE(VLOOKUP(C10,Výsledky_skupin!$A$3:$B$130,2,0))&gt;4," -",VLOOKUP(C10,Výsledky_skupin!$A$3:$B$130,2,0))</f>
        <v>8 1. KPK Vrchlabí - Vedral Filip</v>
      </c>
      <c r="E10" s="2">
        <v>8</v>
      </c>
      <c r="F10">
        <f t="shared" ca="1" si="1"/>
        <v>0</v>
      </c>
      <c r="I10" s="316" t="str">
        <f ca="1">IF(OR(TRIM(S10)="-",TRIM(S10)="")," ",S10)</f>
        <v>21 Carreau Brno - Ferlay Franck</v>
      </c>
      <c r="S10" s="316" t="str">
        <f ca="1">VLOOKUP($A10,'Dohrávka_5-8'!$K$6:$L$13,2,0)</f>
        <v>21 Carreau Brno - Ferlay Franck</v>
      </c>
      <c r="AI10" s="316" t="str">
        <f ca="1">VLOOKUP($A10,'KO16'!$G$6:$H$31,2,0)</f>
        <v>7 HRODE KRUMSÍN - Motl Bohuslav</v>
      </c>
      <c r="AJ10" s="309">
        <f ca="1">VLOOKUP($A10,'KO16'!$G$6:$I$31,3,0)</f>
        <v>0</v>
      </c>
      <c r="AT10" s="316" t="str">
        <f ca="1">VLOOKUP($A10,'KO32'!$G$6:$H$63,2,0)</f>
        <v>7 HRODE KRUMSÍN - Motl Bohuslav</v>
      </c>
      <c r="AU10" s="309">
        <f ca="1">VLOOKUP($A10,'KO32'!$G$6:$I$63,3,0)</f>
        <v>1</v>
      </c>
      <c r="AV10" s="316" t="str">
        <f ca="1">VLOOKUP($A10,'KO32'!$K$10:$L$59,2,0)</f>
        <v>7 HRODE KRUMSÍN - Motl Bohuslav</v>
      </c>
      <c r="AW10" s="309">
        <f ca="1">VLOOKUP($A10,'KO32'!$K$10:$M$59,3,0)</f>
        <v>0</v>
      </c>
      <c r="BG10" s="316" t="str">
        <f ca="1">VLOOKUP($A10,'KO64'!$G$6:$H$127,2,0)</f>
        <v>8 1. KPK Vrchlabí - Vedral Filip</v>
      </c>
      <c r="BH10" s="309">
        <f ca="1">VLOOKUP($A10,'KO64'!$G$6:$I$127,3,0)</f>
        <v>0</v>
      </c>
      <c r="BI10" s="316" t="str">
        <f ca="1">VLOOKUP($A10,'KO64'!$K$10:$L$123,2,0)</f>
        <v xml:space="preserve"> </v>
      </c>
      <c r="BJ10" s="309">
        <f ca="1">VLOOKUP($A10,'KO64'!$K$10:$M$123,3,0)</f>
        <v>0</v>
      </c>
      <c r="BK10" s="316" t="str">
        <f ca="1">VLOOKUP($A10,'KO64'!$O$18:$P$115,2,0)</f>
        <v xml:space="preserve"> </v>
      </c>
      <c r="BL10" s="309">
        <f ca="1">VLOOKUP($A10,'KO64'!$O$18:$Q$115,3,0)</f>
        <v>0</v>
      </c>
    </row>
    <row r="11" spans="1:71">
      <c r="A11" s="2">
        <f t="shared" ca="1" si="0"/>
        <v>9</v>
      </c>
      <c r="B11" s="62" t="str">
        <f t="shared" ca="1" si="2"/>
        <v>41 PC Sokol PP Hr. Králové - Melgr Jan</v>
      </c>
      <c r="C11" s="63" t="str">
        <f ca="1">IF(E11&gt;$G$2,"",Nasazení!B11)</f>
        <v>I1</v>
      </c>
      <c r="D11" s="62" t="str">
        <f ca="1">IF(TYPE(VLOOKUP(C11,Výsledky_skupin!$A$3:$B$130,2,0))&gt;4," -",VLOOKUP(C11,Výsledky_skupin!$A$3:$B$130,2,0))</f>
        <v>41 PC Sokol PP Hr. Králové - Melgr Jan</v>
      </c>
      <c r="E11" s="2">
        <v>9</v>
      </c>
      <c r="F11">
        <f t="shared" ca="1" si="1"/>
        <v>0</v>
      </c>
      <c r="I11" s="316" t="str">
        <f ca="1">IF(OR(TRIM(AE11)="-",TRIM(AE11)="")," ",AE11)</f>
        <v>18 1. KPK Vrchlabí - Brázda Vladimír</v>
      </c>
      <c r="AE11" s="316" t="str">
        <f ca="1">VLOOKUP($A11,'Dohrávka_9-16'!$O$10:$P$35,2,0)</f>
        <v>18 1. KPK Vrchlabí - Brázda Vladimír</v>
      </c>
      <c r="AT11" s="316" t="str">
        <f ca="1">VLOOKUP($A11,'KO32'!$G$6:$H$63,2,0)</f>
        <v>41 PC Sokol PP Hr. Králové - Melgr Jan</v>
      </c>
      <c r="AU11" s="309">
        <f ca="1">VLOOKUP($A11,'KO32'!$G$6:$I$63,3,0)</f>
        <v>0</v>
      </c>
      <c r="BG11" s="316" t="str">
        <f ca="1">VLOOKUP($A11,'KO64'!$G$6:$H$127,2,0)</f>
        <v>41 PC Sokol PP Hr. Králové - Melgr Jan</v>
      </c>
      <c r="BH11" s="309">
        <f ca="1">VLOOKUP($A11,'KO64'!$G$6:$I$127,3,0)</f>
        <v>0</v>
      </c>
      <c r="BI11" s="316" t="str">
        <f ca="1">VLOOKUP($A11,'KO64'!$K$10:$L$123,2,0)</f>
        <v xml:space="preserve"> </v>
      </c>
      <c r="BJ11" s="309">
        <f ca="1">VLOOKUP($A11,'KO64'!$K$10:$M$123,3,0)</f>
        <v>0</v>
      </c>
    </row>
    <row r="12" spans="1:71">
      <c r="A12" s="2">
        <f ca="1">E12+F12</f>
        <v>10</v>
      </c>
      <c r="B12" s="62" t="str">
        <f t="shared" ca="1" si="2"/>
        <v>23 PLUK Jablonec - Lukáš Petr</v>
      </c>
      <c r="C12" s="63" t="str">
        <f ca="1">IF(E12&gt;$G$2,"",Nasazení!B12)</f>
        <v>J1</v>
      </c>
      <c r="D12" s="62" t="str">
        <f ca="1">IF(TYPE(VLOOKUP(C12,Výsledky_skupin!$A$3:$B$130,2,0))&gt;4," -",VLOOKUP(C12,Výsledky_skupin!$A$3:$B$130,2,0))</f>
        <v>23 PLUK Jablonec - Lukáš Petr</v>
      </c>
      <c r="E12" s="2">
        <v>10</v>
      </c>
      <c r="F12">
        <f t="shared" ca="1" si="1"/>
        <v>0</v>
      </c>
      <c r="I12" s="316" t="str">
        <f t="shared" ref="I12:I18" ca="1" si="3">IF(OR(TRIM(AE12)="-",TRIM(AE12)="")," ",AE12)</f>
        <v>6 CdP Loděnice - Dlouhá Ivana</v>
      </c>
      <c r="AE12" s="316" t="str">
        <f ca="1">VLOOKUP($A12,'Dohrávka_9-16'!$O$10:$P$35,2,0)</f>
        <v>6 CdP Loděnice - Dlouhá Ivana</v>
      </c>
      <c r="AT12" s="316" t="str">
        <f ca="1">VLOOKUP($A12,'KO32'!$G$6:$H$63,2,0)</f>
        <v>23 PLUK Jablonec - Lukáš Petr</v>
      </c>
      <c r="AU12" s="309">
        <f ca="1">VLOOKUP($A12,'KO32'!$G$6:$I$63,3,0)</f>
        <v>5</v>
      </c>
      <c r="BG12" s="316" t="str">
        <f ca="1">VLOOKUP($A12,'KO64'!$G$6:$H$127,2,0)</f>
        <v>23 PLUK Jablonec - Lukáš Petr</v>
      </c>
      <c r="BH12" s="309">
        <f ca="1">VLOOKUP($A12,'KO64'!$G$6:$I$127,3,0)</f>
        <v>0</v>
      </c>
      <c r="BI12" s="316" t="str">
        <f ca="1">VLOOKUP($A12,'KO64'!$K$10:$L$123,2,0)</f>
        <v xml:space="preserve"> </v>
      </c>
      <c r="BJ12" s="309">
        <f ca="1">VLOOKUP($A12,'KO64'!$K$10:$M$123,3,0)</f>
        <v>0</v>
      </c>
    </row>
    <row r="13" spans="1:71">
      <c r="A13" s="2">
        <f t="shared" ca="1" si="0"/>
        <v>11</v>
      </c>
      <c r="B13" s="62" t="str">
        <f ca="1">IF(E13&gt;$G$2," - ",D13)</f>
        <v>11 PC Damníkov - Brandes Michael</v>
      </c>
      <c r="C13" s="63" t="str">
        <f ca="1">IF(E13&gt;$G$2,"",Nasazení!B13)</f>
        <v>K1</v>
      </c>
      <c r="D13" s="62" t="str">
        <f ca="1">IF(TYPE(VLOOKUP(C13,Výsledky_skupin!$A$3:$B$130,2,0))&gt;4," -",VLOOKUP(C13,Výsledky_skupin!$A$3:$B$130,2,0))</f>
        <v>11 PC Damníkov - Brandes Michael</v>
      </c>
      <c r="E13" s="2">
        <v>11</v>
      </c>
      <c r="F13">
        <f t="shared" ca="1" si="1"/>
        <v>0</v>
      </c>
      <c r="I13" s="316" t="str">
        <f t="shared" ca="1" si="3"/>
        <v>23 PLUK Jablonec - Lukáš Petr</v>
      </c>
      <c r="AE13" s="316" t="str">
        <f ca="1">VLOOKUP($A13,'Dohrávka_9-16'!$O$10:$P$35,2,0)</f>
        <v>23 PLUK Jablonec - Lukáš Petr</v>
      </c>
      <c r="AT13" s="316" t="str">
        <f ca="1">VLOOKUP($A13,'KO32'!$G$6:$H$63,2,0)</f>
        <v>21 Carreau Brno - Ferlay Franck</v>
      </c>
      <c r="AU13" s="309">
        <f ca="1">VLOOKUP($A13,'KO32'!$G$6:$I$63,3,0)</f>
        <v>1</v>
      </c>
      <c r="BG13" s="316" t="str">
        <f ca="1">VLOOKUP($A13,'KO64'!$G$6:$H$127,2,0)</f>
        <v>11 PC Damníkov - Brandes Michael</v>
      </c>
      <c r="BH13" s="309">
        <f ca="1">VLOOKUP($A13,'KO64'!$G$6:$I$127,3,0)</f>
        <v>0</v>
      </c>
      <c r="BI13" s="316" t="str">
        <f ca="1">VLOOKUP($A13,'KO64'!$K$10:$L$123,2,0)</f>
        <v xml:space="preserve"> </v>
      </c>
      <c r="BJ13" s="309">
        <f ca="1">VLOOKUP($A13,'KO64'!$K$10:$M$123,3,0)</f>
        <v>0</v>
      </c>
    </row>
    <row r="14" spans="1:71">
      <c r="A14" s="2">
        <f t="shared" ca="1" si="0"/>
        <v>12</v>
      </c>
      <c r="B14" s="62" t="str">
        <f t="shared" ref="B14:B66" ca="1" si="4">IF(E14&gt;$G$2," - ",D14)</f>
        <v>12 Orel Řečkovice - Hanák Pavel</v>
      </c>
      <c r="C14" s="63" t="str">
        <f ca="1">IF(E14&gt;$G$2,"",Nasazení!B14)</f>
        <v>L1</v>
      </c>
      <c r="D14" s="62" t="str">
        <f ca="1">IF(TYPE(VLOOKUP(C14,Výsledky_skupin!$A$3:$B$130,2,0))&gt;4," -",VLOOKUP(C14,Výsledky_skupin!$A$3:$B$130,2,0))</f>
        <v>12 Orel Řečkovice - Hanák Pavel</v>
      </c>
      <c r="E14" s="2">
        <v>12</v>
      </c>
      <c r="F14">
        <f t="shared" ca="1" si="1"/>
        <v>0</v>
      </c>
      <c r="I14" s="316" t="str">
        <f t="shared" ca="1" si="3"/>
        <v>19 SKP Hranice VI-Valšovice - Gratcl Jiří</v>
      </c>
      <c r="AE14" s="316" t="str">
        <f ca="1">VLOOKUP($A14,'Dohrávka_9-16'!$O$10:$P$35,2,0)</f>
        <v>19 SKP Hranice VI-Valšovice - Gratcl Jiří</v>
      </c>
      <c r="AT14" s="316" t="str">
        <f ca="1">VLOOKUP($A14,'KO32'!$G$6:$H$63,2,0)</f>
        <v>22 SK Sahara Vědomice - Sekerešová Jindřiška</v>
      </c>
      <c r="AU14" s="309">
        <f ca="1">VLOOKUP($A14,'KO32'!$G$6:$I$63,3,0)</f>
        <v>0</v>
      </c>
      <c r="BG14" s="316" t="str">
        <f ca="1">VLOOKUP($A14,'KO64'!$G$6:$H$127,2,0)</f>
        <v>12 Orel Řečkovice - Hanák Pavel</v>
      </c>
      <c r="BH14" s="309">
        <f ca="1">VLOOKUP($A14,'KO64'!$G$6:$I$127,3,0)</f>
        <v>0</v>
      </c>
      <c r="BI14" s="316" t="str">
        <f ca="1">VLOOKUP($A14,'KO64'!$K$10:$L$123,2,0)</f>
        <v xml:space="preserve"> </v>
      </c>
      <c r="BJ14" s="309">
        <f ca="1">VLOOKUP($A14,'KO64'!$K$10:$M$123,3,0)</f>
        <v>0</v>
      </c>
    </row>
    <row r="15" spans="1:71">
      <c r="A15" s="2">
        <f t="shared" ca="1" si="0"/>
        <v>13</v>
      </c>
      <c r="B15" s="62" t="str">
        <f t="shared" ca="1" si="4"/>
        <v>20 Carreau Brno - Pellizon Boris Alfred</v>
      </c>
      <c r="C15" s="63" t="str">
        <f ca="1">IF(E15&gt;$G$2,"",Nasazení!B15)</f>
        <v>M1</v>
      </c>
      <c r="D15" s="62" t="str">
        <f ca="1">IF(TYPE(VLOOKUP(C15,Výsledky_skupin!$A$3:$B$130,2,0))&gt;4," -",VLOOKUP(C15,Výsledky_skupin!$A$3:$B$130,2,0))</f>
        <v>20 Carreau Brno - Pellizon Boris Alfred</v>
      </c>
      <c r="E15" s="2">
        <v>13</v>
      </c>
      <c r="F15">
        <f t="shared" ca="1" si="1"/>
        <v>0</v>
      </c>
      <c r="I15" s="316" t="str">
        <f t="shared" ca="1" si="3"/>
        <v>22 SK Sahara Vědomice - Sekerešová Jindřiška</v>
      </c>
      <c r="AE15" s="316" t="str">
        <f ca="1">VLOOKUP($A15,'Dohrávka_9-16'!$O$10:$P$35,2,0)</f>
        <v>22 SK Sahara Vědomice - Sekerešová Jindřiška</v>
      </c>
      <c r="AT15" s="316" t="str">
        <f ca="1">VLOOKUP($A15,'KO32'!$G$6:$H$63,2,0)</f>
        <v>19 SKP Hranice VI-Valšovice - Gratcl Jiří</v>
      </c>
      <c r="AU15" s="309">
        <f ca="1">VLOOKUP($A15,'KO32'!$G$6:$I$63,3,0)</f>
        <v>4</v>
      </c>
      <c r="BG15" s="316" t="str">
        <f ca="1">VLOOKUP($A15,'KO64'!$G$6:$H$127,2,0)</f>
        <v>20 Carreau Brno - Pellizon Boris Alfred</v>
      </c>
      <c r="BH15" s="309">
        <f ca="1">VLOOKUP($A15,'KO64'!$G$6:$I$127,3,0)</f>
        <v>0</v>
      </c>
      <c r="BI15" s="316" t="str">
        <f ca="1">VLOOKUP($A15,'KO64'!$K$10:$L$123,2,0)</f>
        <v xml:space="preserve"> </v>
      </c>
      <c r="BJ15" s="309">
        <f ca="1">VLOOKUP($A15,'KO64'!$K$10:$M$123,3,0)</f>
        <v>0</v>
      </c>
    </row>
    <row r="16" spans="1:71">
      <c r="A16" s="2">
        <f t="shared" ca="1" si="0"/>
        <v>14</v>
      </c>
      <c r="B16" s="62" t="str">
        <f t="shared" ca="1" si="4"/>
        <v>51 UBU Únětice - Fuksa Petr</v>
      </c>
      <c r="C16" s="63" t="str">
        <f ca="1">IF(E16&gt;$G$2,"",Nasazení!B16)</f>
        <v>N1</v>
      </c>
      <c r="D16" s="62" t="str">
        <f ca="1">IF(TYPE(VLOOKUP(C16,Výsledky_skupin!$A$3:$B$130,2,0))&gt;4," -",VLOOKUP(C16,Výsledky_skupin!$A$3:$B$130,2,0))</f>
        <v>51 UBU Únětice - Fuksa Petr</v>
      </c>
      <c r="E16" s="2">
        <v>14</v>
      </c>
      <c r="F16">
        <f t="shared" ca="1" si="1"/>
        <v>0</v>
      </c>
      <c r="I16" s="316" t="str">
        <f t="shared" ca="1" si="3"/>
        <v>2 PC Sokol Lipník - Froňková Kateřina</v>
      </c>
      <c r="AE16" s="316" t="str">
        <f ca="1">VLOOKUP($A16,'Dohrávka_9-16'!$O$10:$P$35,2,0)</f>
        <v>2 PC Sokol Lipník - Froňková Kateřina</v>
      </c>
      <c r="AT16" s="316" t="str">
        <f ca="1">VLOOKUP($A16,'KO32'!$G$6:$H$63,2,0)</f>
        <v>51 UBU Únětice - Fuksa Petr</v>
      </c>
      <c r="AU16" s="309">
        <f ca="1">VLOOKUP($A16,'KO32'!$G$6:$I$63,3,0)</f>
        <v>12</v>
      </c>
      <c r="BG16" s="316" t="str">
        <f ca="1">VLOOKUP($A16,'KO64'!$G$6:$H$127,2,0)</f>
        <v>51 UBU Únětice - Fuksa Petr</v>
      </c>
      <c r="BH16" s="309">
        <f ca="1">VLOOKUP($A16,'KO64'!$G$6:$I$127,3,0)</f>
        <v>0</v>
      </c>
      <c r="BI16" s="316" t="str">
        <f ca="1">VLOOKUP($A16,'KO64'!$K$10:$L$123,2,0)</f>
        <v xml:space="preserve"> </v>
      </c>
      <c r="BJ16" s="309">
        <f ca="1">VLOOKUP($A16,'KO64'!$K$10:$M$123,3,0)</f>
        <v>0</v>
      </c>
    </row>
    <row r="17" spans="1:62">
      <c r="A17" s="2">
        <f t="shared" ca="1" si="0"/>
        <v>15</v>
      </c>
      <c r="B17" s="62" t="str">
        <f t="shared" ca="1" si="4"/>
        <v>15 1. KPK Vrchlabí - Hančová Alice</v>
      </c>
      <c r="C17" s="63" t="str">
        <f ca="1">IF(E17&gt;$G$2,"",Nasazení!B17)</f>
        <v>O1</v>
      </c>
      <c r="D17" s="62" t="str">
        <f ca="1">IF(TYPE(VLOOKUP(C17,Výsledky_skupin!$A$3:$B$130,2,0))&gt;4," -",VLOOKUP(C17,Výsledky_skupin!$A$3:$B$130,2,0))</f>
        <v>15 1. KPK Vrchlabí - Hančová Alice</v>
      </c>
      <c r="E17" s="2">
        <v>15</v>
      </c>
      <c r="F17">
        <f t="shared" ca="1" si="1"/>
        <v>0</v>
      </c>
      <c r="I17" s="316" t="str">
        <f t="shared" ca="1" si="3"/>
        <v>51 UBU Únětice - Fuksa Petr</v>
      </c>
      <c r="AE17" s="316" t="str">
        <f ca="1">VLOOKUP($A17,'Dohrávka_9-16'!$O$10:$P$35,2,0)</f>
        <v>51 UBU Únětice - Fuksa Petr</v>
      </c>
      <c r="AT17" s="316" t="str">
        <f ca="1">VLOOKUP($A17,'KO32'!$G$6:$H$63,2,0)</f>
        <v>17 SK Sahara Vědomice - Demčíková Jiřina</v>
      </c>
      <c r="AU17" s="309">
        <f ca="1">VLOOKUP($A17,'KO32'!$G$6:$I$63,3,0)</f>
        <v>13</v>
      </c>
      <c r="BG17" s="316" t="str">
        <f ca="1">VLOOKUP($A17,'KO64'!$G$6:$H$127,2,0)</f>
        <v>15 1. KPK Vrchlabí - Hančová Alice</v>
      </c>
      <c r="BH17" s="309">
        <f ca="1">VLOOKUP($A17,'KO64'!$G$6:$I$127,3,0)</f>
        <v>0</v>
      </c>
      <c r="BI17" s="316" t="str">
        <f ca="1">VLOOKUP($A17,'KO64'!$K$10:$L$123,2,0)</f>
        <v xml:space="preserve"> </v>
      </c>
      <c r="BJ17" s="309">
        <f ca="1">VLOOKUP($A17,'KO64'!$K$10:$M$123,3,0)</f>
        <v>0</v>
      </c>
    </row>
    <row r="18" spans="1:62">
      <c r="A18" s="2">
        <f t="shared" ca="1" si="0"/>
        <v>16</v>
      </c>
      <c r="B18" s="62" t="str">
        <f t="shared" ca="1" si="4"/>
        <v>16 HAPEK - Bureš st. Pavel</v>
      </c>
      <c r="C18" s="63" t="str">
        <f ca="1">IF(E18&gt;$G$2,"",Nasazení!B18)</f>
        <v>P1</v>
      </c>
      <c r="D18" s="62" t="str">
        <f ca="1">IF(TYPE(VLOOKUP(C18,Výsledky_skupin!$A$3:$B$130,2,0))&gt;4," -",VLOOKUP(C18,Výsledky_skupin!$A$3:$B$130,2,0))</f>
        <v>16 HAPEK - Bureš st. Pavel</v>
      </c>
      <c r="E18" s="2">
        <v>16</v>
      </c>
      <c r="F18">
        <f t="shared" ca="1" si="1"/>
        <v>0</v>
      </c>
      <c r="I18" s="316" t="str">
        <f t="shared" ca="1" si="3"/>
        <v>41 PC Sokol PP Hr. Králové - Melgr Jan</v>
      </c>
      <c r="AE18" s="316" t="str">
        <f ca="1">VLOOKUP($A18,'Dohrávka_9-16'!$O$10:$P$35,2,0)</f>
        <v>41 PC Sokol PP Hr. Králové - Melgr Jan</v>
      </c>
      <c r="AT18" s="316" t="str">
        <f ca="1">VLOOKUP($A18,'KO32'!$G$6:$H$63,2,0)</f>
        <v>18 1. KPK Vrchlabí - Brázda Vladimír</v>
      </c>
      <c r="AU18" s="309">
        <f ca="1">VLOOKUP($A18,'KO32'!$G$6:$I$63,3,0)</f>
        <v>8</v>
      </c>
      <c r="BG18" s="316" t="str">
        <f ca="1">VLOOKUP($A18,'KO64'!$G$6:$H$127,2,0)</f>
        <v>16 HAPEK - Bureš st. Pavel</v>
      </c>
      <c r="BH18" s="309">
        <f ca="1">VLOOKUP($A18,'KO64'!$G$6:$I$127,3,0)</f>
        <v>0</v>
      </c>
      <c r="BI18" s="316" t="str">
        <f ca="1">VLOOKUP($A18,'KO64'!$K$10:$L$123,2,0)</f>
        <v xml:space="preserve"> </v>
      </c>
      <c r="BJ18" s="309">
        <f ca="1">VLOOKUP($A18,'KO64'!$K$10:$M$123,3,0)</f>
        <v>0</v>
      </c>
    </row>
    <row r="19" spans="1:62">
      <c r="A19" s="2">
        <f t="shared" ca="1" si="0"/>
        <v>18</v>
      </c>
      <c r="B19" s="62" t="str">
        <f t="shared" ca="1" si="4"/>
        <v>17 SK Sahara Vědomice - Demčíková Jiřina</v>
      </c>
      <c r="C19" s="63" t="str">
        <f ca="1">IF(E19&gt;$G$2,"",Nasazení!B19)</f>
        <v>P2</v>
      </c>
      <c r="D19" s="62" t="str">
        <f ca="1">IF(TYPE(VLOOKUP(C19,Výsledky_skupin!$A$3:$B$130,2,0))&gt;4," -",VLOOKUP(C19,Výsledky_skupin!$A$3:$B$130,2,0))</f>
        <v>17 SK Sahara Vědomice - Demčíková Jiřina</v>
      </c>
      <c r="E19" s="2">
        <v>17</v>
      </c>
      <c r="F19">
        <f t="shared" ca="1" si="1"/>
        <v>1</v>
      </c>
      <c r="BG19" s="316" t="str">
        <f ca="1">VLOOKUP($A19,'KO64'!$G$6:$H$127,2,0)</f>
        <v>17 SK Sahara Vědomice - Demčíková Jiřina</v>
      </c>
      <c r="BH19" s="309">
        <f ca="1">VLOOKUP($A19,'KO64'!$G$6:$I$127,3,0)</f>
        <v>0</v>
      </c>
    </row>
    <row r="20" spans="1:62">
      <c r="A20" s="2">
        <f t="shared" ca="1" si="0"/>
        <v>17</v>
      </c>
      <c r="B20" s="62" t="str">
        <f t="shared" ca="1" si="4"/>
        <v>18 1. KPK Vrchlabí - Brázda Vladimír</v>
      </c>
      <c r="C20" s="63" t="str">
        <f ca="1">IF(E20&gt;$G$2,"",Nasazení!B20)</f>
        <v>O2</v>
      </c>
      <c r="D20" s="62" t="str">
        <f ca="1">IF(TYPE(VLOOKUP(C20,Výsledky_skupin!$A$3:$B$130,2,0))&gt;4," -",VLOOKUP(C20,Výsledky_skupin!$A$3:$B$130,2,0))</f>
        <v>18 1. KPK Vrchlabí - Brázda Vladimír</v>
      </c>
      <c r="E20" s="2">
        <v>18</v>
      </c>
      <c r="F20">
        <f t="shared" ca="1" si="1"/>
        <v>-1</v>
      </c>
      <c r="BG20" s="316" t="str">
        <f ca="1">VLOOKUP($A20,'KO64'!$G$6:$H$127,2,0)</f>
        <v>18 1. KPK Vrchlabí - Brázda Vladimír</v>
      </c>
      <c r="BH20" s="309">
        <f ca="1">VLOOKUP($A20,'KO64'!$G$6:$I$127,3,0)</f>
        <v>0</v>
      </c>
    </row>
    <row r="21" spans="1:62">
      <c r="A21" s="2">
        <f t="shared" ca="1" si="0"/>
        <v>20</v>
      </c>
      <c r="B21" s="62" t="str">
        <f t="shared" ca="1" si="4"/>
        <v>19 SKP Hranice VI-Valšovice - Gratcl Jiří</v>
      </c>
      <c r="C21" s="63" t="str">
        <f ca="1">IF(E21&gt;$G$2,"",Nasazení!B21)</f>
        <v>N2</v>
      </c>
      <c r="D21" s="62" t="str">
        <f ca="1">IF(TYPE(VLOOKUP(C21,Výsledky_skupin!$A$3:$B$130,2,0))&gt;4," -",VLOOKUP(C21,Výsledky_skupin!$A$3:$B$130,2,0))</f>
        <v>19 SKP Hranice VI-Valšovice - Gratcl Jiří</v>
      </c>
      <c r="E21" s="2">
        <v>19</v>
      </c>
      <c r="F21">
        <f t="shared" ca="1" si="1"/>
        <v>1</v>
      </c>
      <c r="BG21" s="316" t="str">
        <f ca="1">VLOOKUP($A21,'KO64'!$G$6:$H$127,2,0)</f>
        <v>19 SKP Hranice VI-Valšovice - Gratcl Jiří</v>
      </c>
      <c r="BH21" s="309">
        <f ca="1">VLOOKUP($A21,'KO64'!$G$6:$I$127,3,0)</f>
        <v>0</v>
      </c>
    </row>
    <row r="22" spans="1:62">
      <c r="A22" s="2">
        <f t="shared" ca="1" si="0"/>
        <v>19</v>
      </c>
      <c r="B22" s="62" t="str">
        <f t="shared" ca="1" si="4"/>
        <v>13 PK Polouvsí - Valošek Radim</v>
      </c>
      <c r="C22" s="63" t="str">
        <f ca="1">IF(E22&gt;$G$2,"",Nasazení!B22)</f>
        <v>M2</v>
      </c>
      <c r="D22" s="62" t="str">
        <f ca="1">IF(TYPE(VLOOKUP(C22,Výsledky_skupin!$A$3:$B$130,2,0))&gt;4," -",VLOOKUP(C22,Výsledky_skupin!$A$3:$B$130,2,0))</f>
        <v>13 PK Polouvsí - Valošek Radim</v>
      </c>
      <c r="E22" s="2">
        <v>20</v>
      </c>
      <c r="F22">
        <f t="shared" ca="1" si="1"/>
        <v>-1</v>
      </c>
      <c r="BG22" s="316" t="str">
        <f ca="1">VLOOKUP($A22,'KO64'!$G$6:$H$127,2,0)</f>
        <v>13 PK Polouvsí - Valošek Radim</v>
      </c>
      <c r="BH22" s="309">
        <f ca="1">VLOOKUP($A22,'KO64'!$G$6:$I$127,3,0)</f>
        <v>0</v>
      </c>
    </row>
    <row r="23" spans="1:62">
      <c r="A23" s="2">
        <f t="shared" ca="1" si="0"/>
        <v>22</v>
      </c>
      <c r="B23" s="62" t="str">
        <f t="shared" ca="1" si="4"/>
        <v>21 Carreau Brno - Ferlay Franck</v>
      </c>
      <c r="C23" s="63" t="str">
        <f ca="1">IF(E23&gt;$G$2,"",Nasazení!B23)</f>
        <v>L2</v>
      </c>
      <c r="D23" s="62" t="str">
        <f ca="1">IF(TYPE(VLOOKUP(C23,Výsledky_skupin!$A$3:$B$130,2,0))&gt;4," -",VLOOKUP(C23,Výsledky_skupin!$A$3:$B$130,2,0))</f>
        <v>21 Carreau Brno - Ferlay Franck</v>
      </c>
      <c r="E23" s="2">
        <v>21</v>
      </c>
      <c r="F23">
        <f t="shared" ca="1" si="1"/>
        <v>1</v>
      </c>
      <c r="BG23" s="316" t="str">
        <f ca="1">VLOOKUP($A23,'KO64'!$G$6:$H$127,2,0)</f>
        <v>21 Carreau Brno - Ferlay Franck</v>
      </c>
      <c r="BH23" s="309">
        <f ca="1">VLOOKUP($A23,'KO64'!$G$6:$I$127,3,0)</f>
        <v>0</v>
      </c>
    </row>
    <row r="24" spans="1:62">
      <c r="A24" s="2">
        <f t="shared" ca="1" si="0"/>
        <v>21</v>
      </c>
      <c r="B24" s="62" t="str">
        <f t="shared" ca="1" si="4"/>
        <v>22 SK Sahara Vědomice - Sekerešová Jindřiška</v>
      </c>
      <c r="C24" s="63" t="str">
        <f ca="1">IF(E24&gt;$G$2,"",Nasazení!B24)</f>
        <v>K2</v>
      </c>
      <c r="D24" s="62" t="str">
        <f ca="1">IF(TYPE(VLOOKUP(C24,Výsledky_skupin!$A$3:$B$130,2,0))&gt;4," -",VLOOKUP(C24,Výsledky_skupin!$A$3:$B$130,2,0))</f>
        <v>22 SK Sahara Vědomice - Sekerešová Jindřiška</v>
      </c>
      <c r="E24" s="2">
        <v>22</v>
      </c>
      <c r="F24">
        <f t="shared" ca="1" si="1"/>
        <v>-1</v>
      </c>
      <c r="BG24" s="316" t="str">
        <f ca="1">VLOOKUP($A24,'KO64'!$G$6:$H$127,2,0)</f>
        <v>22 SK Sahara Vědomice - Sekerešová Jindřiška</v>
      </c>
      <c r="BH24" s="309">
        <f ca="1">VLOOKUP($A24,'KO64'!$G$6:$I$127,3,0)</f>
        <v>0</v>
      </c>
    </row>
    <row r="25" spans="1:62">
      <c r="A25" s="2">
        <f t="shared" ca="1" si="0"/>
        <v>24</v>
      </c>
      <c r="B25" s="62" t="str">
        <f t="shared" ca="1" si="4"/>
        <v>42 SK Sahara Vědomice - Piller Tomáš</v>
      </c>
      <c r="C25" s="63" t="str">
        <f ca="1">IF(E25&gt;$G$2,"",Nasazení!B25)</f>
        <v>J2</v>
      </c>
      <c r="D25" s="62" t="str">
        <f ca="1">IF(TYPE(VLOOKUP(C25,Výsledky_skupin!$A$3:$B$130,2,0))&gt;4," -",VLOOKUP(C25,Výsledky_skupin!$A$3:$B$130,2,0))</f>
        <v>42 SK Sahara Vědomice - Piller Tomáš</v>
      </c>
      <c r="E25" s="2">
        <v>23</v>
      </c>
      <c r="F25">
        <f t="shared" ca="1" si="1"/>
        <v>1</v>
      </c>
      <c r="BG25" s="316" t="str">
        <f ca="1">VLOOKUP($A25,'KO64'!$G$6:$H$127,2,0)</f>
        <v>42 SK Sahara Vědomice - Piller Tomáš</v>
      </c>
      <c r="BH25" s="309">
        <f ca="1">VLOOKUP($A25,'KO64'!$G$6:$I$127,3,0)</f>
        <v>0</v>
      </c>
    </row>
    <row r="26" spans="1:62">
      <c r="A26" s="2">
        <f t="shared" ca="1" si="0"/>
        <v>23</v>
      </c>
      <c r="B26" s="62" t="str">
        <f t="shared" ca="1" si="4"/>
        <v>24 SPORT Kolín - Šternberg Martin</v>
      </c>
      <c r="C26" s="63" t="str">
        <f ca="1">IF(E26&gt;$G$2,"",Nasazení!B26)</f>
        <v>I2</v>
      </c>
      <c r="D26" s="62" t="str">
        <f ca="1">IF(TYPE(VLOOKUP(C26,Výsledky_skupin!$A$3:$B$130,2,0))&gt;4," -",VLOOKUP(C26,Výsledky_skupin!$A$3:$B$130,2,0))</f>
        <v>24 SPORT Kolín - Šternberg Martin</v>
      </c>
      <c r="E26" s="2">
        <v>24</v>
      </c>
      <c r="F26">
        <f t="shared" ca="1" si="1"/>
        <v>-1</v>
      </c>
      <c r="BG26" s="316" t="str">
        <f ca="1">VLOOKUP($A26,'KO64'!$G$6:$H$127,2,0)</f>
        <v>24 SPORT Kolín - Šternberg Martin</v>
      </c>
      <c r="BH26" s="309">
        <f ca="1">VLOOKUP($A26,'KO64'!$G$6:$I$127,3,0)</f>
        <v>0</v>
      </c>
    </row>
    <row r="27" spans="1:62">
      <c r="A27" s="2">
        <f t="shared" ca="1" si="0"/>
        <v>26</v>
      </c>
      <c r="B27" s="62" t="str">
        <f t="shared" ca="1" si="4"/>
        <v>40 PC Mimo Done - Šíma Jaroslav</v>
      </c>
      <c r="C27" s="63" t="str">
        <f ca="1">IF(E27&gt;$G$2,"",Nasazení!B27)</f>
        <v>H2</v>
      </c>
      <c r="D27" s="62" t="str">
        <f ca="1">IF(TYPE(VLOOKUP(C27,Výsledky_skupin!$A$3:$B$130,2,0))&gt;4," -",VLOOKUP(C27,Výsledky_skupin!$A$3:$B$130,2,0))</f>
        <v>40 PC Mimo Done - Šíma Jaroslav</v>
      </c>
      <c r="E27" s="2">
        <v>25</v>
      </c>
      <c r="F27">
        <f t="shared" ca="1" si="1"/>
        <v>1</v>
      </c>
      <c r="BG27" s="316" t="str">
        <f ca="1">VLOOKUP($A27,'KO64'!$G$6:$H$127,2,0)</f>
        <v>40 PC Mimo Done - Šíma Jaroslav</v>
      </c>
      <c r="BH27" s="309">
        <f ca="1">VLOOKUP($A27,'KO64'!$G$6:$I$127,3,0)</f>
        <v>0</v>
      </c>
    </row>
    <row r="28" spans="1:62">
      <c r="A28" s="2">
        <f t="shared" ca="1" si="0"/>
        <v>25</v>
      </c>
      <c r="B28" s="62" t="str">
        <f t="shared" ca="1" si="4"/>
        <v>7 HRODE KRUMSÍN - Motl Bohuslav</v>
      </c>
      <c r="C28" s="63" t="str">
        <f ca="1">IF(E28&gt;$G$2,"",Nasazení!B28)</f>
        <v>G2</v>
      </c>
      <c r="D28" s="62" t="str">
        <f ca="1">IF(TYPE(VLOOKUP(C28,Výsledky_skupin!$A$3:$B$130,2,0))&gt;4," -",VLOOKUP(C28,Výsledky_skupin!$A$3:$B$130,2,0))</f>
        <v>7 HRODE KRUMSÍN - Motl Bohuslav</v>
      </c>
      <c r="E28" s="2">
        <v>26</v>
      </c>
      <c r="F28">
        <f t="shared" ca="1" si="1"/>
        <v>-1</v>
      </c>
      <c r="BG28" s="316" t="str">
        <f ca="1">VLOOKUP($A28,'KO64'!$G$6:$H$127,2,0)</f>
        <v>7 HRODE KRUMSÍN - Motl Bohuslav</v>
      </c>
      <c r="BH28" s="309">
        <f ca="1">VLOOKUP($A28,'KO64'!$G$6:$I$127,3,0)</f>
        <v>0</v>
      </c>
    </row>
    <row r="29" spans="1:62">
      <c r="A29" s="2">
        <f t="shared" ca="1" si="0"/>
        <v>28</v>
      </c>
      <c r="B29" s="62" t="str">
        <f t="shared" ca="1" si="4"/>
        <v>27 1. KPK Vrchlabí - Kapeš Roman</v>
      </c>
      <c r="C29" s="63" t="str">
        <f ca="1">IF(E29&gt;$G$2,"",Nasazení!B29)</f>
        <v>F2</v>
      </c>
      <c r="D29" s="62" t="str">
        <f ca="1">IF(TYPE(VLOOKUP(C29,Výsledky_skupin!$A$3:$B$130,2,0))&gt;4," -",VLOOKUP(C29,Výsledky_skupin!$A$3:$B$130,2,0))</f>
        <v>27 1. KPK Vrchlabí - Kapeš Roman</v>
      </c>
      <c r="E29" s="2">
        <v>27</v>
      </c>
      <c r="F29">
        <f t="shared" ca="1" si="1"/>
        <v>1</v>
      </c>
      <c r="BG29" s="316" t="str">
        <f ca="1">VLOOKUP($A29,'KO64'!$G$6:$H$127,2,0)</f>
        <v>27 1. KPK Vrchlabí - Kapeš Roman</v>
      </c>
      <c r="BH29" s="309">
        <f ca="1">VLOOKUP($A29,'KO64'!$G$6:$I$127,3,0)</f>
        <v>0</v>
      </c>
    </row>
    <row r="30" spans="1:62">
      <c r="A30" s="2">
        <f t="shared" ca="1" si="0"/>
        <v>27</v>
      </c>
      <c r="B30" s="62" t="str">
        <f t="shared" ca="1" si="4"/>
        <v>37 PC Sokol Lipník - Šplechtová Dana</v>
      </c>
      <c r="C30" s="63" t="str">
        <f ca="1">IF(E30&gt;$G$2,"",Nasazení!B30)</f>
        <v>E2</v>
      </c>
      <c r="D30" s="62" t="str">
        <f ca="1">IF(TYPE(VLOOKUP(C30,Výsledky_skupin!$A$3:$B$130,2,0))&gt;4," -",VLOOKUP(C30,Výsledky_skupin!$A$3:$B$130,2,0))</f>
        <v>37 PC Sokol Lipník - Šplechtová Dana</v>
      </c>
      <c r="E30" s="2">
        <v>28</v>
      </c>
      <c r="F30">
        <f t="shared" ca="1" si="1"/>
        <v>-1</v>
      </c>
      <c r="BG30" s="316" t="str">
        <f ca="1">VLOOKUP($A30,'KO64'!$G$6:$H$127,2,0)</f>
        <v>37 PC Sokol Lipník - Šplechtová Dana</v>
      </c>
      <c r="BH30" s="309">
        <f ca="1">VLOOKUP($A30,'KO64'!$G$6:$I$127,3,0)</f>
        <v>0</v>
      </c>
    </row>
    <row r="31" spans="1:62">
      <c r="A31" s="2">
        <f t="shared" ca="1" si="0"/>
        <v>30</v>
      </c>
      <c r="B31" s="62" t="str">
        <f t="shared" ca="1" si="4"/>
        <v>29 Carreau Brno - Grepl Jiří</v>
      </c>
      <c r="C31" s="63" t="str">
        <f ca="1">IF(E31&gt;$G$2,"",Nasazení!B31)</f>
        <v>D2</v>
      </c>
      <c r="D31" s="62" t="str">
        <f ca="1">IF(TYPE(VLOOKUP(C31,Výsledky_skupin!$A$3:$B$130,2,0))&gt;4," -",VLOOKUP(C31,Výsledky_skupin!$A$3:$B$130,2,0))</f>
        <v>29 Carreau Brno - Grepl Jiří</v>
      </c>
      <c r="E31" s="2">
        <v>29</v>
      </c>
      <c r="F31">
        <f t="shared" ca="1" si="1"/>
        <v>1</v>
      </c>
      <c r="BG31" s="316" t="str">
        <f ca="1">VLOOKUP($A31,'KO64'!$G$6:$H$127,2,0)</f>
        <v>29 Carreau Brno - Grepl Jiří</v>
      </c>
      <c r="BH31" s="309">
        <f ca="1">VLOOKUP($A31,'KO64'!$G$6:$I$127,3,0)</f>
        <v>0</v>
      </c>
    </row>
    <row r="32" spans="1:62">
      <c r="A32" s="2">
        <f t="shared" ca="1" si="0"/>
        <v>29</v>
      </c>
      <c r="B32" s="62" t="str">
        <f t="shared" ca="1" si="4"/>
        <v>35 PKT Velký Šanc - Horálek Jiří</v>
      </c>
      <c r="C32" s="63" t="str">
        <f ca="1">IF(E32&gt;$G$2,"",Nasazení!B32)</f>
        <v>C2</v>
      </c>
      <c r="D32" s="62" t="str">
        <f ca="1">IF(TYPE(VLOOKUP(C32,Výsledky_skupin!$A$3:$B$130,2,0))&gt;4," -",VLOOKUP(C32,Výsledky_skupin!$A$3:$B$130,2,0))</f>
        <v>35 PKT Velký Šanc - Horálek Jiří</v>
      </c>
      <c r="E32" s="2">
        <v>30</v>
      </c>
      <c r="F32">
        <f t="shared" ca="1" si="1"/>
        <v>-1</v>
      </c>
      <c r="BG32" s="316" t="str">
        <f ca="1">VLOOKUP($A32,'KO64'!$G$6:$H$127,2,0)</f>
        <v>35 PKT Velký Šanc - Horálek Jiří</v>
      </c>
      <c r="BH32" s="309">
        <f ca="1">VLOOKUP($A32,'KO64'!$G$6:$I$127,3,0)</f>
        <v>0</v>
      </c>
    </row>
    <row r="33" spans="1:60">
      <c r="A33" s="2">
        <f t="shared" ca="1" si="0"/>
        <v>32</v>
      </c>
      <c r="B33" s="62" t="str">
        <f t="shared" ca="1" si="4"/>
        <v>31 PC Mimo Done - Šídlová Lucie</v>
      </c>
      <c r="C33" s="63" t="str">
        <f ca="1">IF(E33&gt;$G$2,"",Nasazení!B33)</f>
        <v>B2</v>
      </c>
      <c r="D33" s="62" t="str">
        <f ca="1">IF(TYPE(VLOOKUP(C33,Výsledky_skupin!$A$3:$B$130,2,0))&gt;4," -",VLOOKUP(C33,Výsledky_skupin!$A$3:$B$130,2,0))</f>
        <v>31 PC Mimo Done - Šídlová Lucie</v>
      </c>
      <c r="E33" s="2">
        <v>31</v>
      </c>
      <c r="F33">
        <f t="shared" ca="1" si="1"/>
        <v>1</v>
      </c>
      <c r="BG33" s="316" t="str">
        <f ca="1">VLOOKUP($A33,'KO64'!$G$6:$H$127,2,0)</f>
        <v>31 PC Mimo Done - Šídlová Lucie</v>
      </c>
      <c r="BH33" s="309">
        <f ca="1">VLOOKUP($A33,'KO64'!$G$6:$I$127,3,0)</f>
        <v>0</v>
      </c>
    </row>
    <row r="34" spans="1:60">
      <c r="A34" s="2">
        <f t="shared" ca="1" si="0"/>
        <v>31</v>
      </c>
      <c r="B34" s="62" t="str">
        <f t="shared" ca="1" si="4"/>
        <v>33 HRODE KRUMSÍN - Ptáčková Eliška</v>
      </c>
      <c r="C34" s="63" t="str">
        <f ca="1">IF(E34&gt;$G$2,"",Nasazení!B34)</f>
        <v>A2</v>
      </c>
      <c r="D34" s="62" t="str">
        <f ca="1">IF(TYPE(VLOOKUP(C34,Výsledky_skupin!$A$3:$B$130,2,0))&gt;4," -",VLOOKUP(C34,Výsledky_skupin!$A$3:$B$130,2,0))</f>
        <v>33 HRODE KRUMSÍN - Ptáčková Eliška</v>
      </c>
      <c r="E34" s="2">
        <v>32</v>
      </c>
      <c r="F34">
        <f ca="1">IF(E34&gt;$E$2,IF($F$2&gt;0,IF(MOD(E34,2)=0,-1,1),0),0)</f>
        <v>-1</v>
      </c>
      <c r="BG34" s="316" t="str">
        <f ca="1">VLOOKUP($A34,'KO64'!$G$6:$H$127,2,0)</f>
        <v>33 HRODE KRUMSÍN - Ptáčková Eliška</v>
      </c>
      <c r="BH34" s="30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61"/>
  <dimension ref="A1:AF42"/>
  <sheetViews>
    <sheetView topLeftCell="C8" workbookViewId="0">
      <selection activeCell="C8" sqref="C8"/>
    </sheetView>
  </sheetViews>
  <sheetFormatPr defaultRowHeight="12"/>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3</v>
      </c>
      <c r="E2">
        <f t="shared" ca="1" si="1"/>
        <v>3</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1</v>
      </c>
      <c r="E3">
        <f t="shared" ca="1" si="2"/>
        <v>1</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5</v>
      </c>
      <c r="F4">
        <f t="shared" ca="1" si="3"/>
        <v>6</v>
      </c>
      <c r="G4">
        <f t="shared" ca="1" si="3"/>
        <v>8</v>
      </c>
      <c r="H4">
        <f t="shared" ca="1" si="3"/>
        <v>10</v>
      </c>
      <c r="I4">
        <f t="shared" ca="1" si="3"/>
        <v>12</v>
      </c>
      <c r="J4">
        <f t="shared" ca="1" si="3"/>
        <v>14</v>
      </c>
      <c r="K4">
        <f ca="1">IF(OR(K2=0,J5=0),0,J5+1)</f>
        <v>16</v>
      </c>
      <c r="L4">
        <f t="shared" ref="L4:AF4" ca="1" si="4">IF(OR(L2=0,K5=0),0,K5+1)</f>
        <v>18</v>
      </c>
      <c r="M4">
        <f t="shared" ca="1" si="4"/>
        <v>20</v>
      </c>
      <c r="N4">
        <f t="shared" ca="1" si="4"/>
        <v>22</v>
      </c>
      <c r="O4">
        <f t="shared" ca="1" si="4"/>
        <v>24</v>
      </c>
      <c r="P4">
        <f t="shared" ca="1" si="4"/>
        <v>26</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4</v>
      </c>
      <c r="E5">
        <f t="shared" ca="1" si="5"/>
        <v>5</v>
      </c>
      <c r="F5">
        <f t="shared" ca="1" si="5"/>
        <v>7</v>
      </c>
      <c r="G5">
        <f t="shared" ca="1" si="5"/>
        <v>9</v>
      </c>
      <c r="H5">
        <f t="shared" ca="1" si="5"/>
        <v>11</v>
      </c>
      <c r="I5">
        <f t="shared" ca="1" si="5"/>
        <v>13</v>
      </c>
      <c r="J5">
        <f t="shared" ca="1" si="5"/>
        <v>15</v>
      </c>
      <c r="K5">
        <f t="shared" ca="1" si="5"/>
        <v>17</v>
      </c>
      <c r="L5">
        <f t="shared" ca="1" si="5"/>
        <v>19</v>
      </c>
      <c r="M5">
        <f t="shared" ca="1" si="5"/>
        <v>21</v>
      </c>
      <c r="N5">
        <f t="shared" ca="1" si="5"/>
        <v>23</v>
      </c>
      <c r="O5">
        <f t="shared" ca="1" si="5"/>
        <v>25</v>
      </c>
      <c r="P5">
        <f t="shared" ca="1" si="5"/>
        <v>27</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2" t="s">
        <v>443</v>
      </c>
      <c r="E8" s="368">
        <f>Start.listina!U6</f>
        <v>1</v>
      </c>
    </row>
    <row r="9" spans="1:32">
      <c r="C9" s="505" t="s">
        <v>446</v>
      </c>
      <c r="D9" s="505"/>
      <c r="E9" s="506"/>
    </row>
    <row r="10" spans="1:32">
      <c r="A10" s="2" t="s">
        <v>444</v>
      </c>
      <c r="B10" s="2" t="s">
        <v>445</v>
      </c>
    </row>
    <row r="11" spans="1:32">
      <c r="A11" s="2" t="s">
        <v>83</v>
      </c>
      <c r="B11" s="2">
        <v>1</v>
      </c>
      <c r="C11" s="370">
        <f t="shared" ref="C11:C42" ca="1" si="6">999999*RAND()</f>
        <v>653632.48504595889</v>
      </c>
      <c r="D11" s="2"/>
      <c r="E11" s="369" t="str">
        <f t="shared" ref="E11:E42" si="7">IF(D11+$E$8-1=0,"",D11+$E$8-1)</f>
        <v/>
      </c>
    </row>
    <row r="12" spans="1:32">
      <c r="A12" s="2" t="s">
        <v>84</v>
      </c>
      <c r="B12" s="2">
        <v>2</v>
      </c>
      <c r="C12" s="370">
        <f t="shared" ca="1" si="6"/>
        <v>942167.36779636866</v>
      </c>
      <c r="D12" s="2"/>
      <c r="E12" s="369" t="str">
        <f t="shared" si="7"/>
        <v/>
      </c>
    </row>
    <row r="13" spans="1:32">
      <c r="A13" s="2" t="s">
        <v>118</v>
      </c>
      <c r="B13" s="2">
        <v>3</v>
      </c>
      <c r="C13" s="370">
        <f t="shared" ca="1" si="6"/>
        <v>442649.31883151905</v>
      </c>
      <c r="D13" s="2"/>
      <c r="E13" s="369" t="str">
        <f t="shared" si="7"/>
        <v/>
      </c>
    </row>
    <row r="14" spans="1:32">
      <c r="A14" s="2" t="s">
        <v>85</v>
      </c>
      <c r="B14" s="2">
        <v>4</v>
      </c>
      <c r="C14" s="370">
        <f t="shared" ca="1" si="6"/>
        <v>445999.31419839035</v>
      </c>
      <c r="D14" s="2"/>
      <c r="E14" s="369" t="str">
        <f t="shared" si="7"/>
        <v/>
      </c>
    </row>
    <row r="15" spans="1:32">
      <c r="A15" s="2" t="s">
        <v>86</v>
      </c>
      <c r="B15" s="2">
        <v>5</v>
      </c>
      <c r="C15" s="370">
        <f t="shared" ca="1" si="6"/>
        <v>922520.81106607325</v>
      </c>
      <c r="D15" s="2"/>
      <c r="E15" s="369" t="str">
        <f t="shared" si="7"/>
        <v/>
      </c>
    </row>
    <row r="16" spans="1:32">
      <c r="A16" s="2" t="s">
        <v>87</v>
      </c>
      <c r="B16" s="2">
        <v>6</v>
      </c>
      <c r="C16" s="370">
        <f t="shared" ca="1" si="6"/>
        <v>136851.88766959464</v>
      </c>
      <c r="D16" s="2"/>
      <c r="E16" s="369" t="str">
        <f t="shared" si="7"/>
        <v/>
      </c>
    </row>
    <row r="17" spans="1:5">
      <c r="A17" s="2" t="s">
        <v>88</v>
      </c>
      <c r="B17" s="2">
        <v>7</v>
      </c>
      <c r="C17" s="370">
        <f t="shared" ca="1" si="6"/>
        <v>217129.77438577154</v>
      </c>
      <c r="D17" s="2"/>
      <c r="E17" s="369" t="str">
        <f t="shared" si="7"/>
        <v/>
      </c>
    </row>
    <row r="18" spans="1:5">
      <c r="A18" s="2" t="s">
        <v>89</v>
      </c>
      <c r="B18" s="2">
        <v>8</v>
      </c>
      <c r="C18" s="370">
        <f t="shared" ca="1" si="6"/>
        <v>200943.26754113895</v>
      </c>
      <c r="D18" s="2"/>
      <c r="E18" s="369" t="str">
        <f t="shared" si="7"/>
        <v/>
      </c>
    </row>
    <row r="19" spans="1:5">
      <c r="A19" s="2" t="s">
        <v>90</v>
      </c>
      <c r="B19" s="2">
        <v>9</v>
      </c>
      <c r="C19" s="370">
        <f t="shared" ca="1" si="6"/>
        <v>997618.54094794265</v>
      </c>
      <c r="D19" s="2"/>
      <c r="E19" s="369" t="str">
        <f t="shared" si="7"/>
        <v/>
      </c>
    </row>
    <row r="20" spans="1:5">
      <c r="A20" s="2" t="s">
        <v>91</v>
      </c>
      <c r="B20" s="2">
        <v>10</v>
      </c>
      <c r="C20" s="370">
        <f t="shared" ca="1" si="6"/>
        <v>180421.80323338235</v>
      </c>
      <c r="D20" s="2"/>
      <c r="E20" s="369" t="str">
        <f t="shared" si="7"/>
        <v/>
      </c>
    </row>
    <row r="21" spans="1:5">
      <c r="A21" s="2" t="s">
        <v>92</v>
      </c>
      <c r="B21" s="2">
        <v>11</v>
      </c>
      <c r="C21" s="370">
        <f t="shared" ca="1" si="6"/>
        <v>876258.12866029236</v>
      </c>
      <c r="D21" s="2"/>
      <c r="E21" s="369" t="str">
        <f t="shared" si="7"/>
        <v/>
      </c>
    </row>
    <row r="22" spans="1:5">
      <c r="A22" s="2" t="s">
        <v>93</v>
      </c>
      <c r="B22" s="2">
        <v>12</v>
      </c>
      <c r="C22" s="370">
        <f t="shared" ca="1" si="6"/>
        <v>831958.76461711014</v>
      </c>
      <c r="D22" s="2"/>
      <c r="E22" s="369" t="str">
        <f t="shared" si="7"/>
        <v/>
      </c>
    </row>
    <row r="23" spans="1:5">
      <c r="A23" s="2" t="s">
        <v>94</v>
      </c>
      <c r="B23" s="2">
        <v>13</v>
      </c>
      <c r="C23" s="370">
        <f t="shared" ca="1" si="6"/>
        <v>879921.92211005092</v>
      </c>
      <c r="D23" s="2"/>
      <c r="E23" s="369" t="str">
        <f t="shared" si="7"/>
        <v/>
      </c>
    </row>
    <row r="24" spans="1:5">
      <c r="A24" s="2" t="s">
        <v>95</v>
      </c>
      <c r="B24" s="2">
        <v>14</v>
      </c>
      <c r="C24" s="370">
        <f t="shared" ca="1" si="6"/>
        <v>655577.76967946242</v>
      </c>
      <c r="D24" s="2"/>
      <c r="E24" s="369" t="str">
        <f t="shared" si="7"/>
        <v/>
      </c>
    </row>
    <row r="25" spans="1:5">
      <c r="A25" s="2" t="s">
        <v>96</v>
      </c>
      <c r="B25" s="2">
        <v>15</v>
      </c>
      <c r="C25" s="370">
        <f t="shared" ca="1" si="6"/>
        <v>127210.1059807164</v>
      </c>
      <c r="D25" s="2"/>
      <c r="E25" s="369" t="str">
        <f t="shared" si="7"/>
        <v/>
      </c>
    </row>
    <row r="26" spans="1:5">
      <c r="A26" s="2" t="s">
        <v>97</v>
      </c>
      <c r="B26" s="2">
        <v>16</v>
      </c>
      <c r="C26" s="370">
        <f t="shared" ca="1" si="6"/>
        <v>300999.82325890654</v>
      </c>
      <c r="D26" s="2"/>
      <c r="E26" s="369" t="str">
        <f t="shared" si="7"/>
        <v/>
      </c>
    </row>
    <row r="27" spans="1:5">
      <c r="A27" s="2" t="s">
        <v>98</v>
      </c>
      <c r="B27" s="2">
        <v>17</v>
      </c>
      <c r="C27" s="370">
        <f t="shared" ca="1" si="6"/>
        <v>223060.0919739177</v>
      </c>
      <c r="D27" s="2"/>
      <c r="E27" s="369" t="str">
        <f t="shared" si="7"/>
        <v/>
      </c>
    </row>
    <row r="28" spans="1:5">
      <c r="A28" s="2" t="s">
        <v>99</v>
      </c>
      <c r="B28" s="2">
        <v>18</v>
      </c>
      <c r="C28" s="370">
        <f t="shared" ca="1" si="6"/>
        <v>844299.95186288189</v>
      </c>
      <c r="D28" s="2"/>
      <c r="E28" s="369" t="str">
        <f t="shared" si="7"/>
        <v/>
      </c>
    </row>
    <row r="29" spans="1:5">
      <c r="A29" s="2" t="s">
        <v>100</v>
      </c>
      <c r="B29" s="2">
        <v>19</v>
      </c>
      <c r="C29" s="370">
        <f t="shared" ca="1" si="6"/>
        <v>690544.32664135261</v>
      </c>
      <c r="D29" s="2"/>
      <c r="E29" s="369" t="str">
        <f t="shared" si="7"/>
        <v/>
      </c>
    </row>
    <row r="30" spans="1:5">
      <c r="A30" s="2" t="s">
        <v>101</v>
      </c>
      <c r="B30" s="2">
        <v>20</v>
      </c>
      <c r="C30" s="370">
        <f t="shared" ca="1" si="6"/>
        <v>243748.83043337599</v>
      </c>
      <c r="D30" s="2"/>
      <c r="E30" s="369" t="str">
        <f t="shared" si="7"/>
        <v/>
      </c>
    </row>
    <row r="31" spans="1:5">
      <c r="A31" s="2" t="s">
        <v>102</v>
      </c>
      <c r="B31" s="2">
        <v>21</v>
      </c>
      <c r="C31" s="370">
        <f t="shared" ca="1" si="6"/>
        <v>974781.76869635272</v>
      </c>
      <c r="D31" s="2"/>
      <c r="E31" s="369" t="str">
        <f t="shared" si="7"/>
        <v/>
      </c>
    </row>
    <row r="32" spans="1:5">
      <c r="A32" s="2" t="s">
        <v>103</v>
      </c>
      <c r="B32" s="2">
        <v>22</v>
      </c>
      <c r="C32" s="370">
        <f t="shared" ca="1" si="6"/>
        <v>925599.69126844767</v>
      </c>
      <c r="D32" s="2"/>
      <c r="E32" s="369" t="str">
        <f t="shared" si="7"/>
        <v/>
      </c>
    </row>
    <row r="33" spans="1:5">
      <c r="A33" s="2" t="s">
        <v>104</v>
      </c>
      <c r="B33" s="2">
        <v>23</v>
      </c>
      <c r="C33" s="370">
        <f t="shared" ca="1" si="6"/>
        <v>892061.52632699953</v>
      </c>
      <c r="D33" s="2"/>
      <c r="E33" s="369" t="str">
        <f t="shared" si="7"/>
        <v/>
      </c>
    </row>
    <row r="34" spans="1:5">
      <c r="A34" s="2" t="s">
        <v>105</v>
      </c>
      <c r="B34" s="2">
        <v>24</v>
      </c>
      <c r="C34" s="370">
        <f t="shared" ca="1" si="6"/>
        <v>981253.89635975449</v>
      </c>
      <c r="D34" s="2"/>
      <c r="E34" s="369" t="str">
        <f t="shared" si="7"/>
        <v/>
      </c>
    </row>
    <row r="35" spans="1:5">
      <c r="A35" s="2" t="s">
        <v>106</v>
      </c>
      <c r="B35" s="2">
        <v>25</v>
      </c>
      <c r="C35" s="370">
        <f t="shared" ca="1" si="6"/>
        <v>865799.14751096349</v>
      </c>
      <c r="D35" s="2"/>
      <c r="E35" s="369" t="str">
        <f t="shared" si="7"/>
        <v/>
      </c>
    </row>
    <row r="36" spans="1:5">
      <c r="A36" s="2" t="s">
        <v>107</v>
      </c>
      <c r="B36" s="2">
        <v>26</v>
      </c>
      <c r="C36" s="370">
        <f t="shared" ca="1" si="6"/>
        <v>778370.05438694754</v>
      </c>
      <c r="D36" s="2"/>
      <c r="E36" s="369" t="str">
        <f t="shared" si="7"/>
        <v/>
      </c>
    </row>
    <row r="37" spans="1:5">
      <c r="A37" s="2" t="s">
        <v>81</v>
      </c>
      <c r="B37" s="2">
        <v>27</v>
      </c>
      <c r="C37" s="370">
        <f t="shared" ca="1" si="6"/>
        <v>441654.00953296677</v>
      </c>
      <c r="D37" s="2"/>
      <c r="E37" s="369" t="str">
        <f t="shared" si="7"/>
        <v/>
      </c>
    </row>
    <row r="38" spans="1:5">
      <c r="A38" s="2" t="s">
        <v>108</v>
      </c>
      <c r="B38" s="2">
        <v>28</v>
      </c>
      <c r="C38" s="370">
        <f t="shared" ca="1" si="6"/>
        <v>231276.31137859321</v>
      </c>
      <c r="D38" s="2"/>
      <c r="E38" s="369" t="str">
        <f t="shared" si="7"/>
        <v/>
      </c>
    </row>
    <row r="39" spans="1:5">
      <c r="A39" s="2" t="s">
        <v>109</v>
      </c>
      <c r="B39" s="2">
        <v>29</v>
      </c>
      <c r="C39" s="370">
        <f t="shared" ca="1" si="6"/>
        <v>251633.45575703471</v>
      </c>
      <c r="D39" s="2"/>
      <c r="E39" s="369" t="str">
        <f t="shared" si="7"/>
        <v/>
      </c>
    </row>
    <row r="40" spans="1:5">
      <c r="A40" s="2" t="s">
        <v>110</v>
      </c>
      <c r="B40" s="2">
        <v>30</v>
      </c>
      <c r="C40" s="370">
        <f t="shared" ca="1" si="6"/>
        <v>248100.6796650787</v>
      </c>
      <c r="D40" s="2"/>
      <c r="E40" s="369" t="str">
        <f t="shared" si="7"/>
        <v/>
      </c>
    </row>
    <row r="41" spans="1:5">
      <c r="A41" s="2" t="s">
        <v>111</v>
      </c>
      <c r="B41" s="2">
        <v>31</v>
      </c>
      <c r="C41" s="370">
        <f t="shared" ca="1" si="6"/>
        <v>657071.45641578338</v>
      </c>
      <c r="D41" s="2"/>
      <c r="E41" s="369" t="str">
        <f t="shared" si="7"/>
        <v/>
      </c>
    </row>
    <row r="42" spans="1:5">
      <c r="A42" s="2" t="s">
        <v>112</v>
      </c>
      <c r="B42" s="2">
        <v>32</v>
      </c>
      <c r="C42" s="370">
        <f t="shared" ca="1" si="6"/>
        <v>157714.75110642563</v>
      </c>
      <c r="D42" s="2"/>
      <c r="E42" s="369" t="str">
        <f t="shared" si="7"/>
        <v/>
      </c>
    </row>
  </sheetData>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5" customHeight="1" thickBot="1">
      <c r="A2" s="70"/>
      <c r="B2" s="331"/>
      <c r="C2" s="332">
        <v>64</v>
      </c>
      <c r="D2" s="157" t="s">
        <v>120</v>
      </c>
      <c r="E2" s="16"/>
      <c r="F2" s="16"/>
      <c r="G2" s="219">
        <v>32</v>
      </c>
      <c r="H2" s="157" t="s">
        <v>120</v>
      </c>
      <c r="I2" s="16"/>
      <c r="J2" s="17"/>
      <c r="K2" s="219">
        <v>16</v>
      </c>
      <c r="L2" s="157" t="s">
        <v>120</v>
      </c>
      <c r="M2" s="17"/>
      <c r="N2" s="17"/>
      <c r="O2" s="219">
        <v>8</v>
      </c>
      <c r="P2" s="157" t="s">
        <v>120</v>
      </c>
      <c r="Q2" s="16"/>
      <c r="R2" s="17"/>
      <c r="S2" s="219">
        <v>4</v>
      </c>
      <c r="T2" s="157" t="s">
        <v>134</v>
      </c>
      <c r="U2" s="17"/>
      <c r="V2" s="17"/>
      <c r="W2" s="219">
        <v>2</v>
      </c>
      <c r="X2" s="157" t="s">
        <v>132</v>
      </c>
      <c r="Y2" s="17"/>
      <c r="Z2" s="17"/>
      <c r="AA2" s="219">
        <v>1</v>
      </c>
      <c r="AB2" s="178" t="s">
        <v>133</v>
      </c>
      <c r="AC2" s="17"/>
      <c r="AD2" s="17"/>
      <c r="AE2" s="17"/>
      <c r="AF2" s="17"/>
      <c r="AG2" s="17"/>
      <c r="AH2" s="17"/>
      <c r="AI2" s="17"/>
      <c r="AJ2" s="17"/>
    </row>
    <row r="3" spans="1:36" ht="28.95" customHeight="1" thickBot="1">
      <c r="A3" s="29"/>
      <c r="B3" s="33"/>
      <c r="C3" s="254"/>
      <c r="D3" s="371" t="s">
        <v>447</v>
      </c>
      <c r="E3" s="374" t="str">
        <f ca="1">IF(OR(TRIM(D4)="-",TRIM(D5)="-"),"",VLOOKUP(MIN(C4,C5),Hřiště!$B$11:$E$42,4,0))</f>
        <v/>
      </c>
      <c r="F3" s="80"/>
      <c r="G3" s="81"/>
      <c r="H3" s="125"/>
      <c r="I3" s="82"/>
      <c r="J3" s="80"/>
      <c r="K3" s="80"/>
      <c r="L3" s="125"/>
      <c r="M3" s="82"/>
      <c r="N3" s="80"/>
      <c r="O3" s="80"/>
      <c r="P3" s="125"/>
      <c r="Q3" s="82"/>
      <c r="R3" s="80"/>
      <c r="S3" s="80"/>
      <c r="T3" s="125"/>
      <c r="U3" s="82"/>
      <c r="V3" s="80"/>
      <c r="W3" s="80"/>
      <c r="X3" s="86"/>
      <c r="Y3" s="82"/>
      <c r="Z3" s="80"/>
      <c r="AA3" s="80"/>
      <c r="AB3" s="82"/>
      <c r="AC3" s="82"/>
      <c r="AD3" s="80"/>
      <c r="AE3" s="80"/>
      <c r="AF3" s="80"/>
      <c r="AG3" s="82"/>
      <c r="AH3" s="82"/>
      <c r="AI3" s="82"/>
      <c r="AJ3" s="80"/>
    </row>
    <row r="4" spans="1:36" ht="18" thickBot="1">
      <c r="A4" s="116" t="str">
        <f ca="1">VLOOKUP(C4,Postupy!$A$3:$C$66,3,0)</f>
        <v>A1</v>
      </c>
      <c r="B4" s="179"/>
      <c r="C4" s="108">
        <v>1</v>
      </c>
      <c r="D4" s="109" t="str">
        <f ca="1">VLOOKUP(C4,Postupy!$A$3:$B$66,2,0)</f>
        <v>1 Carreau Brno - Michálek Tomáš</v>
      </c>
      <c r="E4" s="155"/>
      <c r="F4" s="180"/>
      <c r="G4" s="181"/>
      <c r="H4" s="182"/>
      <c r="I4" s="231"/>
      <c r="J4" s="181"/>
      <c r="K4" s="181"/>
      <c r="L4" s="181"/>
      <c r="M4" s="231"/>
      <c r="N4" s="181"/>
      <c r="O4" s="181"/>
      <c r="P4" s="181"/>
      <c r="Q4" s="231"/>
      <c r="R4" s="181"/>
      <c r="S4" s="181"/>
      <c r="T4" s="181"/>
      <c r="U4" s="181"/>
      <c r="V4" s="181"/>
      <c r="W4" s="181"/>
      <c r="X4" s="18"/>
      <c r="Y4" s="17"/>
      <c r="Z4" s="17"/>
      <c r="AA4" s="17"/>
      <c r="AB4" s="17"/>
      <c r="AC4" s="17"/>
      <c r="AD4" s="17"/>
      <c r="AE4" s="17"/>
      <c r="AF4" s="17"/>
      <c r="AG4" s="17"/>
      <c r="AH4" s="17"/>
      <c r="AI4" s="17"/>
      <c r="AJ4" s="17"/>
    </row>
    <row r="5" spans="1:36" ht="18.899999999999999" thickTop="1" thickBot="1">
      <c r="A5" s="116" t="str">
        <f ca="1">VLOOKUP(C5,Postupy!$A$3:$C$66,3,0)</f>
        <v/>
      </c>
      <c r="B5" s="179"/>
      <c r="C5" s="110">
        <v>64</v>
      </c>
      <c r="D5" s="111" t="str">
        <f ca="1">VLOOKUP(C5,Postupy!$A$3:$B$66,2,0)</f>
        <v xml:space="preserve"> - </v>
      </c>
      <c r="E5" s="156"/>
      <c r="F5" s="183"/>
      <c r="G5" s="184"/>
      <c r="H5" s="371" t="s">
        <v>447</v>
      </c>
      <c r="I5" s="374" t="str">
        <f ca="1">IF(OR(TRIM(H6)="-",TRIM(H7)="-"),"",VLOOKUP(MIN(G6,G7),Hřiště!$B$11:$E$42,4,0))</f>
        <v/>
      </c>
      <c r="J5" s="181"/>
      <c r="K5" s="181"/>
      <c r="L5" s="181"/>
      <c r="M5" s="231"/>
      <c r="N5" s="181"/>
      <c r="O5" s="181"/>
      <c r="P5" s="186"/>
      <c r="Q5" s="231"/>
      <c r="R5" s="181"/>
      <c r="S5" s="181"/>
      <c r="T5" s="181"/>
      <c r="U5" s="181"/>
      <c r="V5" s="181"/>
      <c r="W5" s="181"/>
      <c r="X5" s="18"/>
      <c r="Y5" s="17"/>
      <c r="Z5" s="17"/>
      <c r="AA5" s="17"/>
      <c r="AB5" s="17"/>
      <c r="AC5" s="17"/>
      <c r="AD5" s="17"/>
      <c r="AE5" s="17"/>
      <c r="AF5" s="17"/>
      <c r="AG5" s="17"/>
      <c r="AH5" s="17"/>
      <c r="AI5" s="17"/>
      <c r="AJ5" s="17"/>
    </row>
    <row r="6" spans="1:36" ht="18" thickBot="1">
      <c r="A6" s="107"/>
      <c r="B6" s="187"/>
      <c r="C6" s="187">
        <f>C4+C5</f>
        <v>65</v>
      </c>
      <c r="D6" s="188"/>
      <c r="E6" s="373"/>
      <c r="F6" s="189"/>
      <c r="G6" s="108">
        <v>1</v>
      </c>
      <c r="H6" s="109" t="str">
        <f ca="1">IF(OR(TRIM(D4)="-",TRIM(D5)="-"), IF(TRIM(D4)="-",D5,D4),IF(AND(E4="",E5="")," ",IF(N(E4)=N(E5)," ",IF(N(E4)&gt;N(E5),D4,D5))))</f>
        <v>1 Carreau Brno - Michálek Tomáš</v>
      </c>
      <c r="I6" s="155"/>
      <c r="J6" s="180"/>
      <c r="K6" s="181"/>
      <c r="L6" s="186"/>
      <c r="M6" s="231"/>
      <c r="N6" s="181"/>
      <c r="O6" s="181"/>
      <c r="P6" s="186"/>
      <c r="Q6" s="231"/>
      <c r="R6" s="181"/>
      <c r="S6" s="181"/>
      <c r="T6" s="181"/>
      <c r="U6" s="181"/>
      <c r="V6" s="181"/>
      <c r="W6" s="190"/>
      <c r="X6" s="17"/>
      <c r="Y6" s="17"/>
      <c r="Z6" s="17"/>
      <c r="AA6" s="17"/>
      <c r="AB6" s="17"/>
      <c r="AC6" s="17"/>
      <c r="AD6" s="17"/>
      <c r="AE6" s="17"/>
      <c r="AF6" s="17"/>
      <c r="AG6" s="17"/>
      <c r="AH6" s="17"/>
      <c r="AI6" s="17"/>
      <c r="AJ6" s="17"/>
    </row>
    <row r="7" spans="1:36" ht="18.899999999999999" thickTop="1" thickBot="1">
      <c r="A7" s="104"/>
      <c r="B7" s="191"/>
      <c r="C7" s="192"/>
      <c r="D7" s="371" t="s">
        <v>447</v>
      </c>
      <c r="E7" s="374" t="str">
        <f ca="1">IF(OR(TRIM(D8)="-",TRIM(D9)="-"),"",VLOOKUP(MIN(C8,C9),Hřiště!$B$11:$E$42,4,0))</f>
        <v/>
      </c>
      <c r="F7" s="372"/>
      <c r="G7" s="110">
        <v>32</v>
      </c>
      <c r="H7" s="111" t="str">
        <f ca="1">IF(OR(TRIM(D8)="-",TRIM(D9)="-"), IF(TRIM(D8)="-",D9,D8),IF(AND(E8="",E9="")," ",IF(N(E8)=N(E9)," ",IF(N(E8)&gt;N(E9),D8,D9))))</f>
        <v>31 PC Mimo Done - Šídlová Lucie</v>
      </c>
      <c r="I7" s="156"/>
      <c r="J7" s="183"/>
      <c r="K7" s="193"/>
      <c r="L7" s="194"/>
      <c r="M7" s="229"/>
      <c r="N7" s="181"/>
      <c r="O7" s="181"/>
      <c r="P7" s="186"/>
      <c r="Q7" s="231"/>
      <c r="R7" s="181"/>
      <c r="S7" s="181"/>
      <c r="T7" s="181"/>
      <c r="U7" s="181"/>
      <c r="V7" s="181"/>
      <c r="W7" s="190"/>
      <c r="X7" s="17"/>
      <c r="Y7" s="17"/>
      <c r="Z7" s="17"/>
      <c r="AA7" s="17"/>
      <c r="AB7" s="17"/>
      <c r="AC7" s="17"/>
      <c r="AD7" s="17"/>
      <c r="AE7" s="17"/>
      <c r="AF7" s="17"/>
      <c r="AG7" s="17"/>
      <c r="AH7" s="17"/>
      <c r="AI7" s="17"/>
      <c r="AJ7" s="17"/>
    </row>
    <row r="8" spans="1:36" ht="18" thickBot="1">
      <c r="A8" s="116" t="str">
        <f ca="1">VLOOKUP(C8,Postupy!$A$3:$C$66,3,0)</f>
        <v/>
      </c>
      <c r="B8" s="179"/>
      <c r="C8" s="108">
        <v>33</v>
      </c>
      <c r="D8" s="109" t="str">
        <f ca="1">VLOOKUP(C8,Postupy!$A$3:$B$66,2,0)</f>
        <v xml:space="preserve"> - </v>
      </c>
      <c r="E8" s="155"/>
      <c r="F8" s="195"/>
      <c r="G8" s="196"/>
      <c r="H8" s="197"/>
      <c r="I8" s="232"/>
      <c r="J8" s="190"/>
      <c r="K8" s="193"/>
      <c r="L8" s="194"/>
      <c r="M8" s="229"/>
      <c r="N8" s="181"/>
      <c r="O8" s="181"/>
      <c r="P8" s="186"/>
      <c r="Q8" s="231"/>
      <c r="R8" s="181"/>
      <c r="S8" s="181"/>
      <c r="T8" s="181"/>
      <c r="U8" s="181"/>
      <c r="V8" s="181"/>
      <c r="W8" s="190"/>
      <c r="X8" s="17"/>
      <c r="Y8" s="17"/>
      <c r="Z8" s="17"/>
      <c r="AA8" s="17"/>
      <c r="AB8" s="17"/>
      <c r="AC8" s="17"/>
      <c r="AD8" s="17"/>
      <c r="AE8" s="17"/>
      <c r="AF8" s="17"/>
      <c r="AG8" s="17"/>
      <c r="AH8" s="17"/>
      <c r="AI8" s="17"/>
      <c r="AJ8" s="17"/>
    </row>
    <row r="9" spans="1:36" ht="18.899999999999999" thickTop="1" thickBot="1">
      <c r="A9" s="116" t="str">
        <f ca="1">VLOOKUP(C9,Postupy!$A$3:$C$66,3,0)</f>
        <v>B2</v>
      </c>
      <c r="B9" s="179"/>
      <c r="C9" s="110">
        <v>32</v>
      </c>
      <c r="D9" s="111" t="str">
        <f ca="1">VLOOKUP(C9,Postupy!$A$3:$B$66,2,0)</f>
        <v>31 PC Mimo Done - Šídlová Lucie</v>
      </c>
      <c r="E9" s="156"/>
      <c r="F9" s="182"/>
      <c r="G9" s="181"/>
      <c r="H9" s="198"/>
      <c r="I9" s="232"/>
      <c r="J9" s="190"/>
      <c r="K9" s="184"/>
      <c r="L9" s="371" t="s">
        <v>447</v>
      </c>
      <c r="M9" s="374" t="str">
        <f ca="1">IF(OR(TRIM(L10)="-",TRIM(L11)="-"),"",VLOOKUP(MIN(K10,K11),Hřiště!$B$11:$E$42,4,0))</f>
        <v/>
      </c>
      <c r="N9" s="200"/>
      <c r="O9" s="181"/>
      <c r="P9" s="186"/>
      <c r="Q9" s="231"/>
      <c r="R9" s="181"/>
      <c r="S9" s="181"/>
      <c r="T9" s="181"/>
      <c r="U9" s="181"/>
      <c r="V9" s="181"/>
      <c r="W9" s="190"/>
      <c r="X9" s="17"/>
      <c r="Y9" s="17"/>
      <c r="Z9" s="17"/>
      <c r="AA9" s="17"/>
      <c r="AB9" s="17"/>
      <c r="AC9" s="17"/>
      <c r="AD9" s="17"/>
      <c r="AE9" s="17"/>
      <c r="AF9" s="17"/>
      <c r="AG9" s="17"/>
      <c r="AH9" s="17"/>
      <c r="AI9" s="17"/>
      <c r="AJ9" s="17"/>
    </row>
    <row r="10" spans="1:36" ht="18" thickBot="1">
      <c r="A10" s="107"/>
      <c r="B10" s="187"/>
      <c r="C10" s="187">
        <f>C8+C9</f>
        <v>65</v>
      </c>
      <c r="D10" s="188"/>
      <c r="E10" s="228"/>
      <c r="F10" s="339">
        <f>C6+C10</f>
        <v>130</v>
      </c>
      <c r="G10" s="181"/>
      <c r="H10" s="201"/>
      <c r="I10" s="231"/>
      <c r="J10" s="181"/>
      <c r="K10" s="108">
        <v>1</v>
      </c>
      <c r="L10" s="109" t="str">
        <f ca="1">IF(OR(TRIM(H6)="-",TRIM(H7)="-"), IF(TRIM(H6)="-",H7,H6),IF(AND(I6="",I7="")," ",IF(N(I6)=N(I7)," ",IF(N(I6)&gt;N(I7),H6,H7))))</f>
        <v xml:space="preserve"> </v>
      </c>
      <c r="M10" s="155"/>
      <c r="N10" s="180"/>
      <c r="O10" s="50"/>
      <c r="P10" s="194"/>
      <c r="Q10" s="229"/>
      <c r="R10" s="181"/>
      <c r="S10" s="181"/>
      <c r="T10" s="181"/>
      <c r="U10" s="181"/>
      <c r="V10" s="181"/>
      <c r="W10" s="190"/>
      <c r="X10" s="17"/>
      <c r="Y10" s="17"/>
      <c r="Z10" s="17"/>
      <c r="AA10" s="17"/>
      <c r="AB10" s="17"/>
      <c r="AC10" s="17"/>
      <c r="AD10" s="16"/>
      <c r="AE10" s="17"/>
      <c r="AF10" s="17"/>
      <c r="AG10" s="17"/>
      <c r="AH10" s="17"/>
      <c r="AI10" s="17"/>
      <c r="AJ10" s="16"/>
    </row>
    <row r="11" spans="1:36" ht="18.899999999999999" thickTop="1" thickBot="1">
      <c r="A11" s="104"/>
      <c r="B11" s="191"/>
      <c r="C11" s="192"/>
      <c r="D11" s="371" t="s">
        <v>447</v>
      </c>
      <c r="E11" s="374" t="str">
        <f ca="1">IF(OR(TRIM(D12)="-",TRIM(D13)="-"),"",VLOOKUP(MIN(C12,C13),Hřiště!$B$11:$E$42,4,0))</f>
        <v/>
      </c>
      <c r="F11" s="181"/>
      <c r="G11" s="181"/>
      <c r="H11" s="201"/>
      <c r="I11" s="231"/>
      <c r="J11" s="181"/>
      <c r="K11" s="110">
        <v>16</v>
      </c>
      <c r="L11" s="111" t="str">
        <f ca="1">IF(OR(TRIM(H14)="-",TRIM(H15)="-"), IF(TRIM(H14)="-",H15,H14),IF(AND(I14="",I15="")," ",IF(N(I14)=N(I15)," ",IF(N(I14)&gt;N(I15),H14,H15))))</f>
        <v xml:space="preserve"> </v>
      </c>
      <c r="M11" s="156"/>
      <c r="N11" s="183"/>
      <c r="O11" s="193"/>
      <c r="P11" s="194"/>
      <c r="Q11" s="229"/>
      <c r="R11" s="181"/>
      <c r="S11" s="181"/>
      <c r="T11" s="181"/>
      <c r="U11" s="181"/>
      <c r="V11" s="181"/>
      <c r="W11" s="190"/>
      <c r="X11" s="17"/>
      <c r="Y11" s="17"/>
      <c r="Z11" s="17"/>
      <c r="AA11" s="17"/>
      <c r="AB11" s="17"/>
      <c r="AC11" s="17"/>
      <c r="AD11" s="16"/>
      <c r="AE11" s="17"/>
      <c r="AF11" s="17"/>
      <c r="AG11" s="17"/>
      <c r="AH11" s="17"/>
      <c r="AI11" s="17"/>
      <c r="AJ11" s="16"/>
    </row>
    <row r="12" spans="1:36" ht="18.45" thickTop="1" thickBot="1">
      <c r="A12" s="116" t="str">
        <f ca="1">VLOOKUP(C12,Postupy!$A$3:$C$66,3,0)</f>
        <v>O2</v>
      </c>
      <c r="B12" s="179"/>
      <c r="C12" s="108">
        <v>17</v>
      </c>
      <c r="D12" s="109" t="str">
        <f ca="1">VLOOKUP(C12,Postupy!$A$3:$B$66,2,0)</f>
        <v>18 1. KPK Vrchlabí - Brázda Vladimír</v>
      </c>
      <c r="E12" s="155"/>
      <c r="F12" s="184"/>
      <c r="G12" s="181"/>
      <c r="H12" s="198"/>
      <c r="I12" s="232"/>
      <c r="J12" s="190"/>
      <c r="K12" s="202"/>
      <c r="L12" s="203"/>
      <c r="M12" s="233"/>
      <c r="N12" s="181"/>
      <c r="O12" s="193"/>
      <c r="P12" s="194"/>
      <c r="Q12" s="229"/>
      <c r="R12" s="181"/>
      <c r="S12" s="181"/>
      <c r="T12" s="181"/>
      <c r="U12" s="181"/>
      <c r="V12" s="181"/>
      <c r="W12" s="190"/>
      <c r="X12" s="17"/>
      <c r="Y12" s="17"/>
      <c r="Z12" s="17"/>
      <c r="AA12" s="17"/>
      <c r="AB12" s="17"/>
      <c r="AC12" s="17"/>
      <c r="AD12" s="16"/>
      <c r="AE12" s="17"/>
      <c r="AF12" s="17"/>
      <c r="AG12" s="17"/>
      <c r="AH12" s="17"/>
      <c r="AI12" s="17"/>
      <c r="AJ12" s="16"/>
    </row>
    <row r="13" spans="1:36" ht="18.899999999999999" thickTop="1" thickBot="1">
      <c r="A13" s="116" t="str">
        <f ca="1">VLOOKUP(C13,Postupy!$A$3:$C$66,3,0)</f>
        <v/>
      </c>
      <c r="B13" s="179"/>
      <c r="C13" s="110">
        <v>48</v>
      </c>
      <c r="D13" s="111" t="str">
        <f ca="1">VLOOKUP(C13,Postupy!$A$3:$B$66,2,0)</f>
        <v xml:space="preserve"> - </v>
      </c>
      <c r="E13" s="156"/>
      <c r="F13" s="204" t="s">
        <v>119</v>
      </c>
      <c r="G13" s="184"/>
      <c r="H13" s="371" t="s">
        <v>447</v>
      </c>
      <c r="I13" s="374" t="str">
        <f ca="1">IF(OR(TRIM(H14)="-",TRIM(H15)="-"),"",VLOOKUP(MIN(G14,G15),Hřiště!$B$11:$E$42,4,0))</f>
        <v/>
      </c>
      <c r="J13" s="190"/>
      <c r="K13" s="193"/>
      <c r="L13" s="201"/>
      <c r="M13" s="229"/>
      <c r="N13" s="181"/>
      <c r="O13" s="193"/>
      <c r="P13" s="194"/>
      <c r="Q13" s="229"/>
      <c r="R13" s="181"/>
      <c r="S13" s="181"/>
      <c r="T13" s="181"/>
      <c r="U13" s="181"/>
      <c r="V13" s="181"/>
      <c r="W13" s="190"/>
      <c r="X13" s="17"/>
      <c r="Y13" s="17"/>
      <c r="Z13" s="17"/>
      <c r="AA13" s="17"/>
      <c r="AB13" s="17"/>
      <c r="AC13" s="17"/>
      <c r="AD13" s="16"/>
      <c r="AE13" s="17"/>
      <c r="AF13" s="17"/>
      <c r="AG13" s="17"/>
      <c r="AH13" s="17"/>
      <c r="AI13" s="17"/>
      <c r="AJ13" s="16"/>
    </row>
    <row r="14" spans="1:36" ht="18" thickBot="1">
      <c r="A14" s="107"/>
      <c r="B14" s="187"/>
      <c r="C14" s="187">
        <f>C12+C13</f>
        <v>65</v>
      </c>
      <c r="D14" s="188"/>
      <c r="E14" s="228"/>
      <c r="F14" s="189"/>
      <c r="G14" s="108">
        <v>17</v>
      </c>
      <c r="H14" s="109" t="str">
        <f ca="1">IF(OR(TRIM(D12)="-",TRIM(D13)="-"), IF(TRIM(D12)="-",D13,D12),IF(AND(E12="",E13="")," ",IF(N(E12)=N(E13)," ",IF(N(E12)&gt;N(E13),D12,D13))))</f>
        <v>18 1. KPK Vrchlabí - Brázda Vladimír</v>
      </c>
      <c r="I14" s="155"/>
      <c r="J14" s="195"/>
      <c r="K14" s="193"/>
      <c r="L14" s="201"/>
      <c r="M14" s="229"/>
      <c r="N14" s="181"/>
      <c r="O14" s="193"/>
      <c r="P14" s="194"/>
      <c r="Q14" s="229"/>
      <c r="R14" s="181"/>
      <c r="S14" s="181"/>
      <c r="T14" s="181"/>
      <c r="U14" s="181"/>
      <c r="V14" s="181"/>
      <c r="W14" s="190"/>
      <c r="X14" s="17"/>
      <c r="Y14" s="17"/>
      <c r="Z14" s="17"/>
      <c r="AA14" s="17"/>
      <c r="AB14" s="17"/>
      <c r="AC14" s="17"/>
      <c r="AD14" s="16"/>
      <c r="AE14" s="17"/>
      <c r="AF14" s="17"/>
      <c r="AG14" s="17"/>
      <c r="AH14" s="17"/>
      <c r="AI14" s="17"/>
      <c r="AJ14" s="16"/>
    </row>
    <row r="15" spans="1:36" ht="18.899999999999999" thickTop="1" thickBot="1">
      <c r="A15" s="104"/>
      <c r="B15" s="191"/>
      <c r="C15" s="192"/>
      <c r="D15" s="371" t="s">
        <v>447</v>
      </c>
      <c r="E15" s="374" t="str">
        <f ca="1">IF(OR(TRIM(D16)="-",TRIM(D17)="-"),"",VLOOKUP(MIN(C16,C17),Hřiště!$B$11:$E$42,4,0))</f>
        <v/>
      </c>
      <c r="F15" s="200"/>
      <c r="G15" s="110">
        <v>16</v>
      </c>
      <c r="H15" s="111" t="str">
        <f ca="1">IF(OR(TRIM(D16)="-",TRIM(D17)="-"), IF(TRIM(D16)="-",D17,D16),IF(AND(E16="",E17="")," ",IF(N(E16)=N(E17)," ",IF(N(E16)&gt;N(E17),D16,D17))))</f>
        <v>16 HAPEK - Bureš st. Pavel</v>
      </c>
      <c r="I15" s="156"/>
      <c r="J15" s="182"/>
      <c r="K15" s="181"/>
      <c r="L15" s="201"/>
      <c r="M15" s="231"/>
      <c r="N15" s="181"/>
      <c r="O15" s="193"/>
      <c r="P15" s="194"/>
      <c r="Q15" s="229"/>
      <c r="R15" s="181"/>
      <c r="S15" s="181"/>
      <c r="T15" s="181"/>
      <c r="U15" s="181"/>
      <c r="V15" s="181"/>
      <c r="W15" s="190"/>
      <c r="X15" s="17"/>
      <c r="Y15" s="17"/>
      <c r="Z15" s="17"/>
      <c r="AA15" s="17"/>
      <c r="AB15" s="17"/>
      <c r="AC15" s="17"/>
      <c r="AD15" s="17"/>
      <c r="AE15" s="17"/>
      <c r="AF15" s="17"/>
      <c r="AG15" s="17"/>
      <c r="AH15" s="17"/>
      <c r="AI15" s="17"/>
      <c r="AJ15" s="17"/>
    </row>
    <row r="16" spans="1:36" ht="18.45" thickTop="1" thickBot="1">
      <c r="A16" s="116" t="str">
        <f ca="1">VLOOKUP(C16,Postupy!$A$3:$C$66,3,0)</f>
        <v/>
      </c>
      <c r="B16" s="179"/>
      <c r="C16" s="108">
        <v>49</v>
      </c>
      <c r="D16" s="109" t="str">
        <f ca="1">VLOOKUP(C16,Postupy!$A$3:$B$66,2,0)</f>
        <v xml:space="preserve"> - </v>
      </c>
      <c r="E16" s="155"/>
      <c r="F16" s="205"/>
      <c r="G16" s="202"/>
      <c r="H16" s="203"/>
      <c r="I16" s="233"/>
      <c r="J16" s="181"/>
      <c r="K16" s="181"/>
      <c r="L16" s="198"/>
      <c r="M16" s="231"/>
      <c r="N16" s="181"/>
      <c r="O16" s="193"/>
      <c r="P16" s="194"/>
      <c r="Q16" s="229"/>
      <c r="R16" s="181"/>
      <c r="S16" s="181"/>
      <c r="T16" s="181"/>
      <c r="U16" s="181"/>
      <c r="V16" s="181"/>
      <c r="W16" s="190"/>
      <c r="X16" s="17"/>
      <c r="Y16" s="17"/>
      <c r="Z16" s="17"/>
      <c r="AA16" s="17"/>
      <c r="AB16" s="17"/>
      <c r="AC16" s="17"/>
      <c r="AD16" s="17"/>
      <c r="AE16" s="17"/>
      <c r="AF16" s="17"/>
      <c r="AG16" s="17"/>
      <c r="AH16" s="17"/>
      <c r="AI16" s="17"/>
      <c r="AJ16" s="17"/>
    </row>
    <row r="17" spans="1:36" ht="18.899999999999999" thickTop="1" thickBot="1">
      <c r="A17" s="116" t="str">
        <f ca="1">VLOOKUP(C17,Postupy!$A$3:$C$66,3,0)</f>
        <v>P1</v>
      </c>
      <c r="B17" s="179"/>
      <c r="C17" s="110">
        <v>16</v>
      </c>
      <c r="D17" s="111" t="str">
        <f ca="1">VLOOKUP(C17,Postupy!$A$3:$B$66,2,0)</f>
        <v>16 HAPEK - Bureš st. Pavel</v>
      </c>
      <c r="E17" s="156"/>
      <c r="F17" s="206"/>
      <c r="G17" s="181"/>
      <c r="H17" s="198"/>
      <c r="I17" s="231"/>
      <c r="J17" s="181"/>
      <c r="K17" s="181"/>
      <c r="L17" s="207"/>
      <c r="M17" s="232"/>
      <c r="N17" s="190"/>
      <c r="O17" s="184"/>
      <c r="P17" s="371" t="s">
        <v>447</v>
      </c>
      <c r="Q17" s="374" t="str">
        <f ca="1">IF(OR(TRIM(P18)="-",TRIM(P19)="-"),"",VLOOKUP(MIN(O18,O19),Hřiště!$B$11:$E$42,4,0))</f>
        <v/>
      </c>
      <c r="S17" s="200"/>
      <c r="T17" s="200"/>
      <c r="U17" s="200"/>
      <c r="V17" s="181"/>
      <c r="W17" s="190"/>
      <c r="X17" s="17"/>
      <c r="Y17" s="17"/>
      <c r="Z17" s="17"/>
      <c r="AA17" s="17"/>
      <c r="AB17" s="17"/>
      <c r="AC17" s="17"/>
      <c r="AD17" s="17"/>
      <c r="AE17" s="17"/>
      <c r="AF17" s="17"/>
      <c r="AG17" s="17"/>
      <c r="AH17" s="17"/>
      <c r="AI17" s="17"/>
      <c r="AJ17" s="17"/>
    </row>
    <row r="18" spans="1:36" ht="18" thickBot="1">
      <c r="A18" s="107"/>
      <c r="B18" s="187"/>
      <c r="C18" s="187">
        <f>C16+C17</f>
        <v>65</v>
      </c>
      <c r="D18" s="188"/>
      <c r="E18" s="228"/>
      <c r="F18" s="339">
        <f>C14+C18</f>
        <v>130</v>
      </c>
      <c r="G18" s="181"/>
      <c r="H18" s="201"/>
      <c r="I18" s="231"/>
      <c r="J18" s="181"/>
      <c r="K18" s="181"/>
      <c r="L18" s="208"/>
      <c r="M18" s="232"/>
      <c r="N18" s="190"/>
      <c r="O18" s="108">
        <v>1</v>
      </c>
      <c r="P18" s="109" t="str">
        <f ca="1">IF(OR(TRIM(L10)="-",TRIM(L11)="-"), IF(TRIM(L10)="-",L11,L10),IF(AND(M10="",M11="")," ",IF(N(M10)=N(M11)," ",IF(N(M10)&gt;N(M11),L10,L11))))</f>
        <v xml:space="preserve"> </v>
      </c>
      <c r="Q18" s="155"/>
      <c r="R18" s="190"/>
      <c r="S18" s="181"/>
      <c r="T18" s="181"/>
      <c r="U18" s="181"/>
      <c r="V18" s="181"/>
      <c r="W18" s="190"/>
      <c r="X18" s="17"/>
      <c r="Y18" s="17"/>
      <c r="Z18" s="17"/>
      <c r="AA18" s="17"/>
      <c r="AB18" s="17"/>
      <c r="AC18" s="17"/>
      <c r="AD18" s="17"/>
      <c r="AE18" s="17"/>
      <c r="AF18" s="17"/>
      <c r="AG18" s="17"/>
      <c r="AH18" s="17"/>
      <c r="AI18" s="17"/>
      <c r="AJ18" s="17"/>
    </row>
    <row r="19" spans="1:36" ht="18.899999999999999" thickTop="1" thickBot="1">
      <c r="A19" s="104"/>
      <c r="B19" s="191"/>
      <c r="C19" s="192"/>
      <c r="D19" s="371" t="s">
        <v>447</v>
      </c>
      <c r="E19" s="374" t="str">
        <f ca="1">IF(OR(TRIM(D20)="-",TRIM(D21)="-"),"",VLOOKUP(MIN(C20,C21),Hřiště!$B$11:$E$42,4,0))</f>
        <v/>
      </c>
      <c r="F19" s="181"/>
      <c r="G19" s="181"/>
      <c r="H19" s="201"/>
      <c r="I19" s="231"/>
      <c r="J19" s="181"/>
      <c r="K19" s="181"/>
      <c r="L19" s="208"/>
      <c r="M19" s="232"/>
      <c r="N19" s="189"/>
      <c r="O19" s="110">
        <v>8</v>
      </c>
      <c r="P19" s="111" t="str">
        <f ca="1">IF(OR(TRIM(L26)="-",TRIM(L27)="-"),IF(TRIM(L26)="-",L27,L26),IF(AND(M26="",M27="")," ",IF(N(M26)=N(M27)," ",IF(N(M26)&gt;N(M27),L26,L27))))</f>
        <v xml:space="preserve"> </v>
      </c>
      <c r="Q19" s="156"/>
      <c r="R19" s="183"/>
      <c r="S19" s="209"/>
      <c r="T19" s="181"/>
      <c r="U19" s="181"/>
      <c r="V19" s="181"/>
      <c r="W19" s="190"/>
      <c r="X19" s="17"/>
      <c r="Y19" s="17"/>
      <c r="Z19" s="17"/>
      <c r="AA19" s="17"/>
      <c r="AB19" s="17"/>
      <c r="AC19" s="17"/>
      <c r="AD19" s="17"/>
      <c r="AE19" s="17"/>
      <c r="AF19" s="17"/>
      <c r="AG19" s="17"/>
      <c r="AH19" s="17"/>
      <c r="AI19" s="17"/>
      <c r="AJ19" s="17"/>
    </row>
    <row r="20" spans="1:36" ht="18.45" thickTop="1" thickBot="1">
      <c r="A20" s="116" t="str">
        <f ca="1">VLOOKUP(C20,Postupy!$A$3:$C$66,3,0)</f>
        <v>I1</v>
      </c>
      <c r="B20" s="179"/>
      <c r="C20" s="108">
        <v>9</v>
      </c>
      <c r="D20" s="109" t="str">
        <f ca="1">VLOOKUP(C20,Postupy!$A$3:$B$66,2,0)</f>
        <v>41 PC Sokol PP Hr. Králové - Melgr Jan</v>
      </c>
      <c r="E20" s="155"/>
      <c r="F20" s="184"/>
      <c r="G20" s="181"/>
      <c r="H20" s="198"/>
      <c r="I20" s="231"/>
      <c r="J20" s="181"/>
      <c r="K20" s="181"/>
      <c r="L20" s="208"/>
      <c r="M20" s="232"/>
      <c r="N20" s="189"/>
      <c r="O20" s="202"/>
      <c r="P20" s="203"/>
      <c r="Q20" s="229"/>
      <c r="R20" s="190"/>
      <c r="S20" s="209"/>
      <c r="T20" s="185"/>
      <c r="U20" s="190"/>
      <c r="V20" s="181"/>
      <c r="W20" s="190"/>
      <c r="X20" s="17"/>
      <c r="Y20" s="17"/>
      <c r="Z20" s="17"/>
      <c r="AA20" s="17"/>
      <c r="AB20" s="17"/>
      <c r="AC20" s="16"/>
      <c r="AD20" s="17"/>
      <c r="AE20" s="17"/>
      <c r="AF20" s="17"/>
      <c r="AG20" s="17"/>
      <c r="AH20" s="17"/>
      <c r="AI20" s="16"/>
      <c r="AJ20" s="17"/>
    </row>
    <row r="21" spans="1:36" ht="18.899999999999999" thickTop="1" thickBot="1">
      <c r="A21" s="116" t="str">
        <f ca="1">VLOOKUP(C21,Postupy!$A$3:$C$66,3,0)</f>
        <v/>
      </c>
      <c r="B21" s="179"/>
      <c r="C21" s="110">
        <v>56</v>
      </c>
      <c r="D21" s="111" t="str">
        <f ca="1">VLOOKUP(C21,Postupy!$A$3:$B$66,2,0)</f>
        <v xml:space="preserve"> - </v>
      </c>
      <c r="E21" s="156"/>
      <c r="F21" s="210"/>
      <c r="G21" s="184"/>
      <c r="H21" s="371" t="s">
        <v>447</v>
      </c>
      <c r="I21" s="374" t="str">
        <f ca="1">IF(OR(TRIM(H22)="-",TRIM(H23)="-"),"",VLOOKUP(MIN(G22,G23),Hřiště!$B$11:$E$42,4,0))</f>
        <v/>
      </c>
      <c r="J21" s="181"/>
      <c r="K21" s="181"/>
      <c r="L21" s="208"/>
      <c r="M21" s="232"/>
      <c r="N21" s="189"/>
      <c r="O21" s="50"/>
      <c r="P21" s="201"/>
      <c r="Q21" s="232"/>
      <c r="R21" s="190"/>
      <c r="S21" s="209"/>
      <c r="T21" s="185"/>
      <c r="U21" s="190"/>
      <c r="V21" s="181"/>
      <c r="W21" s="190"/>
      <c r="X21" s="17"/>
      <c r="Y21" s="17"/>
      <c r="Z21" s="17"/>
      <c r="AA21" s="17"/>
      <c r="AB21" s="17"/>
      <c r="AC21" s="16"/>
      <c r="AD21" s="17"/>
      <c r="AE21" s="17"/>
      <c r="AF21" s="17"/>
      <c r="AG21" s="17"/>
      <c r="AH21" s="17"/>
      <c r="AI21" s="16"/>
      <c r="AJ21" s="17"/>
    </row>
    <row r="22" spans="1:36" ht="18.45" thickTop="1" thickBot="1">
      <c r="A22" s="107"/>
      <c r="B22" s="187"/>
      <c r="C22" s="187">
        <f>C20+C21</f>
        <v>65</v>
      </c>
      <c r="D22" s="188"/>
      <c r="E22" s="228"/>
      <c r="F22" s="189"/>
      <c r="G22" s="108">
        <v>9</v>
      </c>
      <c r="H22" s="109" t="str">
        <f ca="1">IF(OR(TRIM(D20)="-",TRIM(D21)="-"), IF(TRIM(D20)="-",D21,D20),IF(AND(E20="",E21="")," ",IF(N(E20)=N(E21)," ",IF(N(E20)&gt;N(E21),D20,D21))))</f>
        <v>41 PC Sokol PP Hr. Králové - Melgr Jan</v>
      </c>
      <c r="I22" s="155"/>
      <c r="J22" s="180"/>
      <c r="K22" s="181"/>
      <c r="L22" s="208"/>
      <c r="M22" s="232"/>
      <c r="N22" s="189"/>
      <c r="O22" s="50"/>
      <c r="P22" s="201"/>
      <c r="Q22" s="232"/>
      <c r="R22" s="190"/>
      <c r="S22" s="209"/>
      <c r="T22" s="185"/>
      <c r="U22" s="190"/>
      <c r="V22" s="181"/>
      <c r="W22" s="190"/>
      <c r="X22" s="17"/>
      <c r="Y22" s="17"/>
      <c r="Z22" s="17"/>
      <c r="AA22" s="17"/>
      <c r="AB22" s="17"/>
      <c r="AC22" s="16"/>
      <c r="AD22" s="17"/>
      <c r="AE22" s="17"/>
      <c r="AF22" s="17"/>
      <c r="AG22" s="17"/>
      <c r="AH22" s="17"/>
      <c r="AI22" s="16"/>
      <c r="AJ22" s="17"/>
    </row>
    <row r="23" spans="1:36" ht="18.899999999999999" thickTop="1" thickBot="1">
      <c r="A23" s="104"/>
      <c r="B23" s="191"/>
      <c r="C23" s="192"/>
      <c r="D23" s="371" t="s">
        <v>447</v>
      </c>
      <c r="E23" s="374" t="str">
        <f ca="1">IF(OR(TRIM(D24)="-",TRIM(D25)="-"),"",VLOOKUP(MIN(C24,C25),Hřiště!$B$11:$E$42,4,0))</f>
        <v/>
      </c>
      <c r="F23" s="189"/>
      <c r="G23" s="110">
        <v>24</v>
      </c>
      <c r="H23" s="111" t="str">
        <f ca="1">IF(OR(TRIM(D24)="-",TRIM(D25)="-"), IF(TRIM(D24)="-",D25,D24),IF(AND(E24="",E25="")," ",IF(N(E24)=N(E25)," ",IF(N(E24)&gt;N(E25),D24,D25))))</f>
        <v>42 SK Sahara Vědomice - Piller Tomáš</v>
      </c>
      <c r="I23" s="156"/>
      <c r="J23" s="183"/>
      <c r="K23" s="193"/>
      <c r="L23" s="211"/>
      <c r="M23" s="232"/>
      <c r="N23" s="189"/>
      <c r="O23" s="50"/>
      <c r="P23" s="198"/>
      <c r="Q23" s="232"/>
      <c r="R23" s="190"/>
      <c r="S23" s="209"/>
      <c r="T23" s="185"/>
      <c r="U23" s="190"/>
      <c r="V23" s="181"/>
      <c r="W23" s="190"/>
      <c r="X23" s="17"/>
      <c r="Y23" s="17"/>
      <c r="Z23" s="17"/>
      <c r="AA23" s="17"/>
      <c r="AB23" s="17"/>
      <c r="AC23" s="17"/>
      <c r="AD23" s="17"/>
      <c r="AE23" s="17"/>
      <c r="AF23" s="17"/>
      <c r="AG23" s="17"/>
      <c r="AH23" s="17"/>
      <c r="AI23" s="17"/>
      <c r="AJ23" s="17"/>
    </row>
    <row r="24" spans="1:36" ht="18.45" thickTop="1" thickBot="1">
      <c r="A24" s="116" t="str">
        <f ca="1">VLOOKUP(C24,Postupy!$A$3:$C$66,3,0)</f>
        <v/>
      </c>
      <c r="B24" s="179"/>
      <c r="C24" s="108">
        <v>41</v>
      </c>
      <c r="D24" s="109" t="str">
        <f ca="1">VLOOKUP(C24,Postupy!$A$3:$B$66,2,0)</f>
        <v xml:space="preserve"> - </v>
      </c>
      <c r="E24" s="155"/>
      <c r="F24" s="195"/>
      <c r="G24" s="196"/>
      <c r="H24" s="203"/>
      <c r="I24" s="234"/>
      <c r="J24" s="190"/>
      <c r="K24" s="193"/>
      <c r="L24" s="212"/>
      <c r="M24" s="232"/>
      <c r="N24" s="189"/>
      <c r="O24" s="50"/>
      <c r="P24" s="207"/>
      <c r="Q24" s="232"/>
      <c r="R24" s="190"/>
      <c r="S24" s="209"/>
      <c r="T24" s="185"/>
      <c r="U24" s="190"/>
      <c r="V24" s="181"/>
      <c r="W24" s="190"/>
      <c r="X24" s="17"/>
      <c r="Y24" s="17"/>
      <c r="Z24" s="17"/>
      <c r="AA24" s="17"/>
      <c r="AB24" s="17"/>
      <c r="AC24" s="17"/>
      <c r="AD24" s="17"/>
      <c r="AE24" s="17"/>
      <c r="AF24" s="17"/>
      <c r="AG24" s="17"/>
      <c r="AH24" s="17"/>
      <c r="AI24" s="17"/>
      <c r="AJ24" s="17"/>
    </row>
    <row r="25" spans="1:36" ht="18.899999999999999" thickTop="1" thickBot="1">
      <c r="A25" s="116" t="str">
        <f ca="1">VLOOKUP(C25,Postupy!$A$3:$C$66,3,0)</f>
        <v>J2</v>
      </c>
      <c r="B25" s="179"/>
      <c r="C25" s="110">
        <v>24</v>
      </c>
      <c r="D25" s="111" t="str">
        <f ca="1">VLOOKUP(C25,Postupy!$A$3:$B$66,2,0)</f>
        <v>42 SK Sahara Vědomice - Piller Tomáš</v>
      </c>
      <c r="E25" s="156"/>
      <c r="F25" s="182"/>
      <c r="G25" s="181"/>
      <c r="H25" s="198"/>
      <c r="I25" s="232"/>
      <c r="J25" s="190"/>
      <c r="K25" s="184"/>
      <c r="L25" s="371" t="s">
        <v>447</v>
      </c>
      <c r="M25" s="374" t="str">
        <f ca="1">IF(OR(TRIM(L26)="-",TRIM(L27)="-"),"",VLOOKUP(MIN(K26,K27),Hřiště!$B$11:$E$42,4,0))</f>
        <v/>
      </c>
      <c r="N25" s="213"/>
      <c r="O25" s="50"/>
      <c r="P25" s="211"/>
      <c r="Q25" s="232"/>
      <c r="R25" s="190"/>
      <c r="S25" s="209"/>
      <c r="T25" s="185"/>
      <c r="U25" s="190"/>
      <c r="V25" s="181"/>
      <c r="W25" s="190"/>
      <c r="X25" s="17"/>
      <c r="Y25" s="17"/>
      <c r="Z25" s="17"/>
      <c r="AA25" s="17"/>
      <c r="AB25" s="17"/>
      <c r="AC25" s="17"/>
      <c r="AD25" s="17"/>
      <c r="AE25" s="17"/>
      <c r="AF25" s="17"/>
      <c r="AG25" s="17"/>
      <c r="AH25" s="17"/>
      <c r="AI25" s="17"/>
      <c r="AJ25" s="17"/>
    </row>
    <row r="26" spans="1:36" ht="18.45" thickTop="1" thickBot="1">
      <c r="A26" s="107"/>
      <c r="B26" s="187"/>
      <c r="C26" s="187">
        <f>C24+C25</f>
        <v>65</v>
      </c>
      <c r="D26" s="188"/>
      <c r="E26" s="228"/>
      <c r="F26" s="339">
        <f>C22+C26</f>
        <v>130</v>
      </c>
      <c r="G26" s="181"/>
      <c r="H26" s="201"/>
      <c r="I26" s="231"/>
      <c r="J26" s="181"/>
      <c r="K26" s="108">
        <v>9</v>
      </c>
      <c r="L26" s="109" t="str">
        <f ca="1">IF(OR(TRIM(H22)="-",TRIM(H23)="-"), IF(TRIM(H22)="-",H23,H22),IF(AND(I22="",I23="")," ",IF(N(I22)=N(I23)," ",IF(N(I22)&gt;N(I23),H22,H23))))</f>
        <v xml:space="preserve"> </v>
      </c>
      <c r="M26" s="155"/>
      <c r="N26" s="195"/>
      <c r="O26" s="181"/>
      <c r="P26" s="208"/>
      <c r="Q26" s="232"/>
      <c r="R26" s="190"/>
      <c r="S26" s="209"/>
      <c r="T26" s="185"/>
      <c r="U26" s="181"/>
      <c r="V26" s="181"/>
      <c r="W26" s="181"/>
      <c r="X26" s="17"/>
      <c r="Y26" s="18"/>
      <c r="Z26" s="17"/>
      <c r="AA26" s="17"/>
      <c r="AB26" s="17"/>
      <c r="AC26" s="18"/>
      <c r="AD26" s="17"/>
      <c r="AE26" s="17"/>
      <c r="AF26" s="17"/>
      <c r="AG26" s="17"/>
      <c r="AH26" s="17"/>
      <c r="AI26" s="18"/>
      <c r="AJ26" s="17"/>
    </row>
    <row r="27" spans="1:36" ht="18.899999999999999" thickTop="1" thickBot="1">
      <c r="A27" s="104"/>
      <c r="B27" s="191"/>
      <c r="C27" s="192"/>
      <c r="D27" s="371" t="s">
        <v>447</v>
      </c>
      <c r="E27" s="374" t="str">
        <f ca="1">IF(OR(TRIM(D28)="-",TRIM(D29)="-"),"",VLOOKUP(MIN(C28,C29),Hřiště!$B$11:$E$42,4,0))</f>
        <v/>
      </c>
      <c r="F27" s="181"/>
      <c r="G27" s="181"/>
      <c r="H27" s="201"/>
      <c r="I27" s="231"/>
      <c r="J27" s="181"/>
      <c r="K27" s="110">
        <v>8</v>
      </c>
      <c r="L27" s="111" t="str">
        <f ca="1">IF(OR(TRIM(H30)="-",TRIM(H31)="-"), IF(TRIM(H30)="-",H31,H30),IF(AND(I30="",I31="")," ",IF(N(I30)=N(I31)," ",IF(N(I30)&gt;N(I31),H30,H31))))</f>
        <v xml:space="preserve"> </v>
      </c>
      <c r="M27" s="156"/>
      <c r="N27" s="182"/>
      <c r="O27" s="181"/>
      <c r="P27" s="208"/>
      <c r="Q27" s="232"/>
      <c r="R27" s="190"/>
      <c r="S27" s="209"/>
      <c r="T27" s="185"/>
      <c r="U27" s="181"/>
      <c r="V27" s="181"/>
      <c r="W27" s="181"/>
      <c r="X27" s="17"/>
      <c r="Y27" s="18"/>
      <c r="Z27" s="17"/>
      <c r="AA27" s="17"/>
      <c r="AB27" s="17"/>
      <c r="AC27" s="18"/>
      <c r="AD27" s="17"/>
      <c r="AE27" s="17"/>
      <c r="AF27" s="17"/>
      <c r="AG27" s="17"/>
      <c r="AH27" s="17"/>
      <c r="AI27" s="18"/>
      <c r="AJ27" s="17"/>
    </row>
    <row r="28" spans="1:36" ht="18.45" thickTop="1" thickBot="1">
      <c r="A28" s="116" t="str">
        <f ca="1">VLOOKUP(C28,Postupy!$A$3:$C$66,3,0)</f>
        <v>G2</v>
      </c>
      <c r="B28" s="179"/>
      <c r="C28" s="108">
        <v>25</v>
      </c>
      <c r="D28" s="109" t="str">
        <f ca="1">VLOOKUP(C28,Postupy!$A$3:$B$66,2,0)</f>
        <v>7 HRODE KRUMSÍN - Motl Bohuslav</v>
      </c>
      <c r="E28" s="155"/>
      <c r="F28" s="184"/>
      <c r="G28" s="181"/>
      <c r="H28" s="198"/>
      <c r="I28" s="231"/>
      <c r="J28" s="190"/>
      <c r="K28" s="202"/>
      <c r="L28" s="203"/>
      <c r="M28" s="233"/>
      <c r="N28" s="181"/>
      <c r="O28" s="181"/>
      <c r="P28" s="208"/>
      <c r="Q28" s="232"/>
      <c r="R28" s="190"/>
      <c r="S28" s="209"/>
      <c r="T28" s="199"/>
      <c r="U28" s="190"/>
      <c r="V28" s="181"/>
      <c r="W28" s="190"/>
      <c r="X28" s="17"/>
      <c r="Y28" s="17"/>
      <c r="Z28" s="17"/>
      <c r="AA28" s="17"/>
      <c r="AB28" s="17"/>
      <c r="AC28" s="17"/>
      <c r="AD28" s="17"/>
      <c r="AE28" s="17"/>
      <c r="AF28" s="17"/>
      <c r="AG28" s="17"/>
      <c r="AH28" s="17"/>
      <c r="AI28" s="17"/>
      <c r="AJ28" s="17"/>
    </row>
    <row r="29" spans="1:36" ht="18.899999999999999" thickTop="1" thickBot="1">
      <c r="A29" s="116" t="str">
        <f ca="1">VLOOKUP(C29,Postupy!$A$3:$C$66,3,0)</f>
        <v/>
      </c>
      <c r="B29" s="179"/>
      <c r="C29" s="110">
        <v>40</v>
      </c>
      <c r="D29" s="111" t="str">
        <f ca="1">VLOOKUP(C29,Postupy!$A$3:$B$66,2,0)</f>
        <v xml:space="preserve"> - </v>
      </c>
      <c r="E29" s="156"/>
      <c r="F29" s="204" t="s">
        <v>119</v>
      </c>
      <c r="G29" s="184"/>
      <c r="H29" s="371" t="s">
        <v>447</v>
      </c>
      <c r="I29" s="374" t="str">
        <f ca="1">IF(OR(TRIM(H30)="-",TRIM(H31)="-"),"",VLOOKUP(MIN(G30,G31),Hřiště!$B$11:$E$42,4,0))</f>
        <v/>
      </c>
      <c r="J29" s="190"/>
      <c r="K29" s="193"/>
      <c r="L29" s="201"/>
      <c r="M29" s="229"/>
      <c r="N29" s="181"/>
      <c r="O29" s="181"/>
      <c r="P29" s="208"/>
      <c r="Q29" s="232"/>
      <c r="R29" s="190"/>
      <c r="S29" s="209"/>
      <c r="T29" s="199"/>
      <c r="U29" s="190"/>
      <c r="V29" s="181"/>
      <c r="W29" s="190"/>
      <c r="X29" s="35"/>
      <c r="Y29" s="17"/>
      <c r="Z29" s="17"/>
      <c r="AA29" s="17"/>
      <c r="AB29" s="17"/>
      <c r="AC29" s="17"/>
      <c r="AD29" s="17"/>
      <c r="AE29" s="17"/>
      <c r="AF29" s="17"/>
      <c r="AG29" s="17"/>
      <c r="AH29" s="17"/>
      <c r="AI29" s="17"/>
      <c r="AJ29" s="17"/>
    </row>
    <row r="30" spans="1:36" ht="18.45" thickTop="1" thickBot="1">
      <c r="A30" s="107"/>
      <c r="B30" s="187"/>
      <c r="C30" s="187">
        <f>C28+C29</f>
        <v>65</v>
      </c>
      <c r="D30" s="188"/>
      <c r="E30" s="228"/>
      <c r="F30" s="23"/>
      <c r="G30" s="108">
        <v>25</v>
      </c>
      <c r="H30" s="109" t="str">
        <f ca="1">IF(OR(TRIM(D28)="-",TRIM(D29)="-"), IF(TRIM(D28)="-",D29,D28),IF(AND(E28="",E29="")," ",IF(N(E28)=N(E29)," ",IF(N(E28)&gt;N(E29),D28,D29))))</f>
        <v>7 HRODE KRUMSÍN - Motl Bohuslav</v>
      </c>
      <c r="I30" s="155"/>
      <c r="J30" s="195"/>
      <c r="K30" s="193"/>
      <c r="L30" s="201"/>
      <c r="M30" s="229"/>
      <c r="N30" s="181"/>
      <c r="O30" s="181"/>
      <c r="P30" s="208"/>
      <c r="Q30" s="232"/>
      <c r="R30" s="190"/>
      <c r="S30" s="209"/>
      <c r="T30" s="199"/>
      <c r="U30" s="190"/>
      <c r="V30" s="181"/>
      <c r="W30" s="190"/>
      <c r="X30" s="35"/>
      <c r="Y30" s="17"/>
      <c r="Z30" s="17"/>
      <c r="AA30" s="17"/>
      <c r="AB30" s="17"/>
      <c r="AC30" s="17"/>
      <c r="AD30" s="17"/>
      <c r="AE30" s="17"/>
      <c r="AF30" s="17"/>
      <c r="AG30" s="17"/>
      <c r="AH30" s="17"/>
      <c r="AI30" s="17"/>
      <c r="AJ30" s="17"/>
    </row>
    <row r="31" spans="1:36" ht="18.899999999999999" thickTop="1" thickBot="1">
      <c r="A31" s="104"/>
      <c r="B31" s="191"/>
      <c r="C31" s="192"/>
      <c r="D31" s="371" t="s">
        <v>447</v>
      </c>
      <c r="E31" s="374" t="str">
        <f ca="1">IF(OR(TRIM(D32)="-",TRIM(D33)="-"),"",VLOOKUP(MIN(C32,C33),Hřiště!$B$11:$E$42,4,0))</f>
        <v/>
      </c>
      <c r="F31" s="200"/>
      <c r="G31" s="110">
        <v>8</v>
      </c>
      <c r="H31" s="111" t="str">
        <f ca="1">IF(OR(TRIM(D32)="-",TRIM(D33)="-"), IF(TRIM(D32)="-",D33,D32),IF(AND(E32="",E33="")," ",IF(N(E32)=N(E33)," ",IF(N(E32)&gt;N(E33),D32,D33))))</f>
        <v>8 1. KPK Vrchlabí - Vedral Filip</v>
      </c>
      <c r="I31" s="156"/>
      <c r="J31" s="182"/>
      <c r="K31" s="181"/>
      <c r="L31" s="201"/>
      <c r="M31" s="231"/>
      <c r="N31" s="181"/>
      <c r="O31" s="181"/>
      <c r="P31" s="208"/>
      <c r="Q31" s="232"/>
      <c r="R31" s="190"/>
      <c r="S31" s="209"/>
      <c r="T31" s="199"/>
      <c r="U31" s="190"/>
      <c r="V31" s="181"/>
      <c r="W31" s="190"/>
      <c r="X31" s="35"/>
      <c r="Y31" s="17"/>
      <c r="Z31" s="17"/>
      <c r="AA31" s="17"/>
      <c r="AB31" s="17"/>
      <c r="AC31" s="17"/>
      <c r="AD31" s="17"/>
      <c r="AE31" s="17"/>
      <c r="AF31" s="17"/>
      <c r="AG31" s="17"/>
      <c r="AH31" s="17"/>
      <c r="AI31" s="17"/>
      <c r="AJ31" s="17"/>
    </row>
    <row r="32" spans="1:36" ht="18.45" thickTop="1" thickBot="1">
      <c r="A32" s="116" t="str">
        <f ca="1">VLOOKUP(C32,Postupy!$A$3:$C$66,3,0)</f>
        <v/>
      </c>
      <c r="B32" s="179"/>
      <c r="C32" s="108">
        <v>57</v>
      </c>
      <c r="D32" s="109" t="str">
        <f ca="1">VLOOKUP(C32,Postupy!$A$3:$B$66,2,0)</f>
        <v xml:space="preserve"> - </v>
      </c>
      <c r="E32" s="155"/>
      <c r="F32" s="195"/>
      <c r="G32" s="202"/>
      <c r="H32" s="203"/>
      <c r="I32" s="233"/>
      <c r="J32" s="181"/>
      <c r="K32" s="181"/>
      <c r="L32" s="198"/>
      <c r="M32" s="231"/>
      <c r="N32" s="181"/>
      <c r="O32" s="181"/>
      <c r="P32" s="208"/>
      <c r="Q32" s="232"/>
      <c r="R32" s="190"/>
      <c r="S32" s="209"/>
      <c r="T32" s="199"/>
      <c r="U32" s="190"/>
      <c r="V32" s="181"/>
      <c r="W32" s="190"/>
      <c r="X32" s="35"/>
      <c r="Y32" s="17"/>
      <c r="Z32" s="17"/>
      <c r="AA32" s="17"/>
      <c r="AB32" s="17"/>
      <c r="AC32" s="17"/>
      <c r="AD32" s="17"/>
      <c r="AE32" s="17"/>
      <c r="AF32" s="17"/>
      <c r="AG32" s="17"/>
      <c r="AH32" s="17"/>
      <c r="AI32" s="17"/>
      <c r="AJ32" s="17"/>
    </row>
    <row r="33" spans="1:36" ht="18.899999999999999" thickTop="1" thickBot="1">
      <c r="A33" s="116" t="str">
        <f ca="1">VLOOKUP(C33,Postupy!$A$3:$C$66,3,0)</f>
        <v>H1</v>
      </c>
      <c r="B33" s="179"/>
      <c r="C33" s="110">
        <v>8</v>
      </c>
      <c r="D33" s="111" t="str">
        <f ca="1">VLOOKUP(C33,Postupy!$A$3:$B$66,2,0)</f>
        <v>8 1. KPK Vrchlabí - Vedral Filip</v>
      </c>
      <c r="E33" s="156"/>
      <c r="F33" s="206"/>
      <c r="G33" s="181"/>
      <c r="H33" s="198"/>
      <c r="I33" s="231"/>
      <c r="J33" s="181"/>
      <c r="K33" s="181"/>
      <c r="L33" s="207"/>
      <c r="M33" s="231"/>
      <c r="N33" s="181"/>
      <c r="O33" s="181"/>
      <c r="P33" s="208"/>
      <c r="Q33" s="232"/>
      <c r="R33" s="190"/>
      <c r="S33" s="184"/>
      <c r="T33" s="371" t="s">
        <v>447</v>
      </c>
      <c r="U33" s="374" t="str">
        <f ca="1">IF(OR(TRIM(T34)="-",TRIM(T35)="-"),"",VLOOKUP(MIN(S34,S35),Hřiště!$B$11:$E$42,4,0))</f>
        <v/>
      </c>
      <c r="V33" s="181"/>
      <c r="W33" s="181"/>
      <c r="X33" s="17"/>
      <c r="Y33" s="17"/>
      <c r="Z33" s="17"/>
      <c r="AA33" s="17"/>
      <c r="AB33" s="17"/>
      <c r="AC33" s="17"/>
      <c r="AD33" s="17"/>
      <c r="AE33" s="17"/>
      <c r="AF33" s="17"/>
      <c r="AG33" s="17"/>
      <c r="AH33" s="17"/>
      <c r="AI33" s="17"/>
      <c r="AJ33" s="17"/>
    </row>
    <row r="34" spans="1:36" ht="18.45" thickTop="1" thickBot="1">
      <c r="A34" s="107"/>
      <c r="B34" s="187"/>
      <c r="C34" s="187">
        <f>C32+C33</f>
        <v>65</v>
      </c>
      <c r="D34" s="188"/>
      <c r="E34" s="228"/>
      <c r="F34" s="339">
        <f>C30+C34</f>
        <v>130</v>
      </c>
      <c r="G34" s="181"/>
      <c r="H34" s="201"/>
      <c r="I34" s="231"/>
      <c r="J34" s="181"/>
      <c r="K34" s="181"/>
      <c r="L34" s="214"/>
      <c r="M34" s="231"/>
      <c r="N34" s="181"/>
      <c r="O34" s="181"/>
      <c r="P34" s="214"/>
      <c r="Q34" s="231"/>
      <c r="R34" s="181"/>
      <c r="S34" s="39">
        <v>1</v>
      </c>
      <c r="T34" s="109" t="str">
        <f ca="1">IF(OR(TRIM(P18)="-",TRIM(P19)="-"), IF(TRIM(P18)="-",P19,P18),IF(AND(Q18="",Q19="")," ",IF(N(Q18)=N(Q19)," ",IF(N(Q18)&gt;N(Q19),P18,P19))))</f>
        <v xml:space="preserve"> </v>
      </c>
      <c r="U34" s="155"/>
      <c r="V34" s="190"/>
      <c r="W34" s="181"/>
      <c r="X34" s="17"/>
      <c r="Y34" s="17"/>
      <c r="Z34" s="17"/>
      <c r="AA34" s="17"/>
      <c r="AB34" s="17"/>
      <c r="AC34" s="17"/>
      <c r="AD34" s="17"/>
      <c r="AE34" s="17"/>
      <c r="AF34" s="17"/>
      <c r="AG34" s="17"/>
      <c r="AH34" s="17"/>
      <c r="AI34" s="17"/>
      <c r="AJ34" s="17"/>
    </row>
    <row r="35" spans="1:36" ht="18.899999999999999" thickTop="1" thickBot="1">
      <c r="A35" s="104"/>
      <c r="B35" s="191"/>
      <c r="C35" s="192"/>
      <c r="D35" s="371" t="s">
        <v>447</v>
      </c>
      <c r="E35" s="374" t="str">
        <f ca="1">IF(OR(TRIM(D36)="-",TRIM(D37)="-"),"",VLOOKUP(MIN(C36,C37),Hřiště!$B$11:$E$42,4,0))</f>
        <v/>
      </c>
      <c r="F35" s="23"/>
      <c r="G35" s="181"/>
      <c r="H35" s="201"/>
      <c r="I35" s="231"/>
      <c r="J35" s="181"/>
      <c r="K35" s="181"/>
      <c r="L35" s="214"/>
      <c r="M35" s="231"/>
      <c r="N35" s="181"/>
      <c r="O35" s="181"/>
      <c r="P35" s="214"/>
      <c r="Q35" s="231"/>
      <c r="R35" s="181"/>
      <c r="S35" s="110">
        <v>4</v>
      </c>
      <c r="T35" s="111" t="str">
        <f ca="1">IF(OR(TRIM(P50)="-",TRIM(P51)="-"), IF(TRIM(P50)="-",P51,P50),IF(AND(Q50="",Q51="")," ",IF(N(Q50)=N(Q51)," ",IF(N(Q50)&gt;N(Q51),P50,P51))))</f>
        <v xml:space="preserve"> </v>
      </c>
      <c r="U35" s="156"/>
      <c r="V35" s="183"/>
      <c r="W35" s="209"/>
      <c r="X35" s="17"/>
      <c r="Y35" s="17"/>
      <c r="Z35" s="17"/>
      <c r="AA35" s="17"/>
      <c r="AB35" s="17"/>
      <c r="AC35" s="17"/>
      <c r="AD35" s="17"/>
      <c r="AE35" s="17"/>
      <c r="AF35" s="17"/>
      <c r="AG35" s="17"/>
      <c r="AH35" s="17"/>
      <c r="AI35" s="17"/>
      <c r="AJ35" s="17"/>
    </row>
    <row r="36" spans="1:36" ht="18.45" thickTop="1" thickBot="1">
      <c r="A36" s="116" t="str">
        <f ca="1">VLOOKUP(C36,Postupy!$A$3:$C$66,3,0)</f>
        <v>E1</v>
      </c>
      <c r="B36" s="179"/>
      <c r="C36" s="108">
        <v>5</v>
      </c>
      <c r="D36" s="109" t="str">
        <f ca="1">VLOOKUP(C36,Postupy!$A$3:$B$66,2,0)</f>
        <v>5 TOP - ORLOVÁ - Bačo David</v>
      </c>
      <c r="E36" s="155"/>
      <c r="F36" s="184"/>
      <c r="G36" s="181"/>
      <c r="H36" s="198"/>
      <c r="I36" s="231"/>
      <c r="J36" s="181"/>
      <c r="K36" s="181"/>
      <c r="L36" s="214"/>
      <c r="M36" s="231"/>
      <c r="N36" s="181"/>
      <c r="O36" s="181"/>
      <c r="P36" s="208"/>
      <c r="Q36" s="232"/>
      <c r="R36" s="190"/>
      <c r="S36" s="202"/>
      <c r="T36" s="215"/>
      <c r="U36" s="50"/>
      <c r="V36" s="190"/>
      <c r="W36" s="209"/>
      <c r="X36" s="17"/>
      <c r="Y36" s="17"/>
      <c r="Z36" s="17"/>
      <c r="AA36" s="17"/>
      <c r="AB36" s="17"/>
      <c r="AC36" s="17"/>
      <c r="AD36" s="17"/>
      <c r="AE36" s="17"/>
      <c r="AF36" s="17"/>
      <c r="AG36" s="17"/>
      <c r="AH36" s="17"/>
      <c r="AI36" s="17"/>
      <c r="AJ36" s="17"/>
    </row>
    <row r="37" spans="1:36" ht="18.899999999999999" thickTop="1" thickBot="1">
      <c r="A37" s="116" t="str">
        <f ca="1">VLOOKUP(C37,Postupy!$A$3:$C$66,3,0)</f>
        <v/>
      </c>
      <c r="B37" s="179"/>
      <c r="C37" s="110">
        <v>60</v>
      </c>
      <c r="D37" s="111" t="str">
        <f ca="1">VLOOKUP(C37,Postupy!$A$3:$B$66,2,0)</f>
        <v xml:space="preserve"> - </v>
      </c>
      <c r="E37" s="156"/>
      <c r="F37" s="210"/>
      <c r="G37" s="184"/>
      <c r="H37" s="371" t="s">
        <v>447</v>
      </c>
      <c r="I37" s="374" t="str">
        <f ca="1">IF(OR(TRIM(H38)="-",TRIM(H39)="-"),"",VLOOKUP(MIN(G38,G39),Hřiště!$B$11:$E$42,4,0))</f>
        <v/>
      </c>
      <c r="J37" s="181"/>
      <c r="K37" s="181"/>
      <c r="L37" s="214"/>
      <c r="M37" s="231"/>
      <c r="N37" s="181"/>
      <c r="O37" s="181"/>
      <c r="P37" s="208"/>
      <c r="Q37" s="232"/>
      <c r="R37" s="190"/>
      <c r="S37" s="193"/>
      <c r="T37" s="186"/>
      <c r="U37" s="50"/>
      <c r="V37" s="190"/>
      <c r="W37" s="209"/>
      <c r="X37" s="35"/>
      <c r="Y37" s="17"/>
      <c r="Z37" s="17"/>
      <c r="AA37" s="17"/>
      <c r="AB37" s="17"/>
      <c r="AC37" s="17"/>
      <c r="AD37" s="17"/>
      <c r="AE37" s="17"/>
      <c r="AF37" s="17"/>
      <c r="AG37" s="17"/>
      <c r="AH37" s="17"/>
      <c r="AI37" s="17"/>
      <c r="AJ37" s="17"/>
    </row>
    <row r="38" spans="1:36" ht="18.45" thickTop="1" thickBot="1">
      <c r="A38" s="107"/>
      <c r="B38" s="187"/>
      <c r="C38" s="187">
        <f>C36+C37</f>
        <v>65</v>
      </c>
      <c r="D38" s="188"/>
      <c r="E38" s="228"/>
      <c r="F38" s="189"/>
      <c r="G38" s="108">
        <v>5</v>
      </c>
      <c r="H38" s="109" t="str">
        <f ca="1">IF(OR(TRIM(D36)="-",TRIM(D37)="-"), IF(TRIM(D36)="-",D37,D36),IF(AND(E36="",E37="")," ",IF(N(E36)=N(E37)," ",IF(N(E36)&gt;N(E37),D36,D37))))</f>
        <v>5 TOP - ORLOVÁ - Bačo David</v>
      </c>
      <c r="I38" s="155"/>
      <c r="J38" s="180"/>
      <c r="K38" s="181"/>
      <c r="L38" s="214"/>
      <c r="M38" s="231"/>
      <c r="N38" s="181"/>
      <c r="O38" s="181"/>
      <c r="P38" s="208"/>
      <c r="Q38" s="232"/>
      <c r="R38" s="190"/>
      <c r="S38" s="193"/>
      <c r="T38" s="186"/>
      <c r="U38" s="50"/>
      <c r="V38" s="190"/>
      <c r="W38" s="209"/>
      <c r="X38" s="17"/>
      <c r="Y38" s="17"/>
      <c r="Z38" s="17"/>
      <c r="AA38" s="17"/>
      <c r="AB38" s="17"/>
      <c r="AC38" s="17"/>
      <c r="AD38" s="17"/>
      <c r="AE38" s="17"/>
      <c r="AF38" s="17"/>
      <c r="AG38" s="17"/>
      <c r="AH38" s="17"/>
      <c r="AI38" s="17"/>
      <c r="AJ38" s="17"/>
    </row>
    <row r="39" spans="1:36" ht="18.899999999999999" thickTop="1" thickBot="1">
      <c r="A39" s="104"/>
      <c r="B39" s="191"/>
      <c r="C39" s="192"/>
      <c r="D39" s="371" t="s">
        <v>447</v>
      </c>
      <c r="E39" s="374" t="str">
        <f ca="1">IF(OR(TRIM(D40)="-",TRIM(D41)="-"),"",VLOOKUP(MIN(C40,C41),Hřiště!$B$11:$E$42,4,0))</f>
        <v/>
      </c>
      <c r="F39" s="189"/>
      <c r="G39" s="110">
        <v>28</v>
      </c>
      <c r="H39" s="111" t="str">
        <f ca="1">IF(OR(TRIM(D40)="-",TRIM(D41)="-"), IF(TRIM(D40)="-",D41,D40),IF(AND(E40="",E41="")," ",IF(N(E40)=N(E41)," ",IF(N(E40)&gt;N(E41),D40,D41))))</f>
        <v>27 1. KPK Vrchlabí - Kapeš Roman</v>
      </c>
      <c r="I39" s="156"/>
      <c r="J39" s="183"/>
      <c r="K39" s="193"/>
      <c r="L39" s="188"/>
      <c r="M39" s="229"/>
      <c r="N39" s="181"/>
      <c r="O39" s="181"/>
      <c r="P39" s="208"/>
      <c r="Q39" s="232"/>
      <c r="R39" s="190"/>
      <c r="S39" s="193"/>
      <c r="T39" s="186"/>
      <c r="U39" s="50"/>
      <c r="V39" s="190"/>
      <c r="W39" s="209"/>
      <c r="X39" s="17"/>
      <c r="Y39" s="17"/>
      <c r="Z39" s="17"/>
      <c r="AA39" s="17"/>
      <c r="AB39" s="17"/>
      <c r="AC39" s="17"/>
      <c r="AD39" s="17"/>
      <c r="AE39" s="17"/>
      <c r="AF39" s="17"/>
      <c r="AG39" s="17"/>
      <c r="AH39" s="17"/>
      <c r="AI39" s="17"/>
      <c r="AJ39" s="17"/>
    </row>
    <row r="40" spans="1:36" ht="18.45" thickTop="1" thickBot="1">
      <c r="A40" s="116" t="str">
        <f ca="1">VLOOKUP(C40,Postupy!$A$3:$C$66,3,0)</f>
        <v/>
      </c>
      <c r="B40" s="179"/>
      <c r="C40" s="108">
        <v>37</v>
      </c>
      <c r="D40" s="109" t="str">
        <f ca="1">VLOOKUP(C40,Postupy!$A$3:$B$66,2,0)</f>
        <v xml:space="preserve"> - </v>
      </c>
      <c r="E40" s="155"/>
      <c r="F40" s="195"/>
      <c r="G40" s="202"/>
      <c r="H40" s="203"/>
      <c r="I40" s="233"/>
      <c r="J40" s="190"/>
      <c r="K40" s="193"/>
      <c r="L40" s="212"/>
      <c r="M40" s="229"/>
      <c r="N40" s="181"/>
      <c r="O40" s="181"/>
      <c r="P40" s="208"/>
      <c r="Q40" s="232"/>
      <c r="R40" s="190"/>
      <c r="S40" s="193"/>
      <c r="T40" s="181"/>
      <c r="U40" s="50"/>
      <c r="V40" s="190"/>
      <c r="W40" s="209"/>
      <c r="X40" s="17"/>
      <c r="Y40" s="17"/>
      <c r="Z40" s="17"/>
      <c r="AA40" s="17"/>
      <c r="AB40" s="17"/>
      <c r="AC40" s="17"/>
      <c r="AD40" s="17"/>
      <c r="AE40" s="17"/>
      <c r="AF40" s="17"/>
      <c r="AG40" s="17"/>
      <c r="AH40" s="17"/>
      <c r="AI40" s="17"/>
      <c r="AJ40" s="17"/>
    </row>
    <row r="41" spans="1:36" ht="18.899999999999999" thickTop="1" thickBot="1">
      <c r="A41" s="116" t="str">
        <f ca="1">VLOOKUP(C41,Postupy!$A$3:$C$66,3,0)</f>
        <v>F2</v>
      </c>
      <c r="B41" s="179"/>
      <c r="C41" s="110">
        <v>28</v>
      </c>
      <c r="D41" s="111" t="str">
        <f ca="1">VLOOKUP(C41,Postupy!$A$3:$B$66,2,0)</f>
        <v>27 1. KPK Vrchlabí - Kapeš Roman</v>
      </c>
      <c r="E41" s="156"/>
      <c r="F41" s="182"/>
      <c r="G41" s="181"/>
      <c r="H41" s="198"/>
      <c r="I41" s="232"/>
      <c r="J41" s="190"/>
      <c r="K41" s="184"/>
      <c r="L41" s="371" t="s">
        <v>447</v>
      </c>
      <c r="M41" s="374" t="str">
        <f ca="1">IF(OR(TRIM(L42)="-",TRIM(L43)="-"),"",VLOOKUP(MIN(K42,K43),Hřiště!$B$11:$E$42,4,0))</f>
        <v/>
      </c>
      <c r="N41" s="200"/>
      <c r="O41" s="181"/>
      <c r="P41" s="208"/>
      <c r="Q41" s="232"/>
      <c r="R41" s="190"/>
      <c r="S41" s="193"/>
      <c r="T41" s="181"/>
      <c r="U41" s="50"/>
      <c r="V41" s="190"/>
      <c r="W41" s="209"/>
      <c r="X41" s="17"/>
      <c r="Y41" s="17"/>
      <c r="Z41" s="17"/>
      <c r="AA41" s="17"/>
      <c r="AB41" s="17"/>
      <c r="AC41" s="17"/>
      <c r="AD41" s="17"/>
      <c r="AE41" s="17"/>
      <c r="AF41" s="17"/>
      <c r="AG41" s="17"/>
      <c r="AH41" s="17"/>
      <c r="AI41" s="17"/>
      <c r="AJ41" s="17"/>
    </row>
    <row r="42" spans="1:36" ht="18.45" thickTop="1" thickBot="1">
      <c r="A42" s="107"/>
      <c r="B42" s="187"/>
      <c r="C42" s="187">
        <f>C40+C41</f>
        <v>65</v>
      </c>
      <c r="D42" s="188"/>
      <c r="E42" s="228"/>
      <c r="F42" s="339">
        <f>C38+C42</f>
        <v>130</v>
      </c>
      <c r="G42" s="181"/>
      <c r="H42" s="201"/>
      <c r="I42" s="231"/>
      <c r="J42" s="181"/>
      <c r="K42" s="108">
        <v>5</v>
      </c>
      <c r="L42" s="109" t="str">
        <f ca="1">IF(OR(TRIM(H38)="-",TRIM(H39)="-"), IF(TRIM(H38)="-",H39,H38),IF(AND(I38="",I39="")," ",IF(N(I38)=N(I39)," ",IF(N(I38)&gt;N(I39),H38,H39))))</f>
        <v xml:space="preserve"> </v>
      </c>
      <c r="M42" s="155"/>
      <c r="N42" s="180"/>
      <c r="O42" s="50"/>
      <c r="P42" s="208"/>
      <c r="Q42" s="232"/>
      <c r="R42" s="190"/>
      <c r="S42" s="193"/>
      <c r="T42" s="50"/>
      <c r="U42" s="50"/>
      <c r="V42" s="190"/>
      <c r="W42" s="209"/>
      <c r="X42" s="17"/>
      <c r="Y42" s="17"/>
      <c r="Z42" s="17"/>
      <c r="AA42" s="17"/>
      <c r="AB42" s="18"/>
      <c r="AC42" s="17"/>
      <c r="AD42" s="17"/>
      <c r="AE42" s="17"/>
      <c r="AF42" s="17"/>
      <c r="AG42" s="18"/>
      <c r="AH42" s="18"/>
      <c r="AI42" s="17"/>
      <c r="AJ42" s="17"/>
    </row>
    <row r="43" spans="1:36" ht="18.899999999999999" thickTop="1" thickBot="1">
      <c r="A43" s="104"/>
      <c r="B43" s="191"/>
      <c r="C43" s="192"/>
      <c r="D43" s="371" t="s">
        <v>447</v>
      </c>
      <c r="E43" s="374" t="str">
        <f ca="1">IF(OR(TRIM(D44)="-",TRIM(D45)="-"),"",VLOOKUP(MIN(C44,C45),Hřiště!$B$11:$E$42,4,0))</f>
        <v/>
      </c>
      <c r="F43" s="181"/>
      <c r="G43" s="181"/>
      <c r="H43" s="201"/>
      <c r="I43" s="231"/>
      <c r="J43" s="181"/>
      <c r="K43" s="110">
        <v>12</v>
      </c>
      <c r="L43" s="111" t="str">
        <f ca="1">IF(OR(TRIM(H46)="-",TRIM(H47)="-"), IF(TRIM(H46)="-",H47,H46),IF(AND(I46="",I47="")," ",IF(N(I46)=N(I47)," ",IF(N(I46)&gt;N(I47),H46,H47))))</f>
        <v xml:space="preserve"> </v>
      </c>
      <c r="M43" s="156"/>
      <c r="N43" s="183"/>
      <c r="O43" s="193"/>
      <c r="P43" s="208"/>
      <c r="Q43" s="232"/>
      <c r="R43" s="190"/>
      <c r="S43" s="193"/>
      <c r="T43" s="50"/>
      <c r="U43" s="50"/>
      <c r="V43" s="190"/>
      <c r="W43" s="209"/>
      <c r="X43" s="17"/>
      <c r="Y43" s="18"/>
      <c r="Z43" s="17"/>
      <c r="AA43" s="17"/>
      <c r="AB43" s="18"/>
      <c r="AC43" s="17"/>
      <c r="AD43" s="17"/>
      <c r="AE43" s="18"/>
      <c r="AF43" s="18"/>
      <c r="AG43" s="18"/>
      <c r="AH43" s="18"/>
      <c r="AI43" s="17"/>
      <c r="AJ43" s="17"/>
    </row>
    <row r="44" spans="1:36" ht="18.45" thickTop="1" thickBot="1">
      <c r="A44" s="116" t="str">
        <f ca="1">VLOOKUP(C44,Postupy!$A$3:$C$66,3,0)</f>
        <v>K2</v>
      </c>
      <c r="B44" s="179"/>
      <c r="C44" s="108">
        <v>21</v>
      </c>
      <c r="D44" s="109" t="str">
        <f ca="1">VLOOKUP(C44,Postupy!$A$3:$B$66,2,0)</f>
        <v>22 SK Sahara Vědomice - Sekerešová Jindřiška</v>
      </c>
      <c r="E44" s="155"/>
      <c r="F44" s="184"/>
      <c r="G44" s="181"/>
      <c r="H44" s="198"/>
      <c r="I44" s="231"/>
      <c r="J44" s="190"/>
      <c r="K44" s="202"/>
      <c r="L44" s="203"/>
      <c r="M44" s="233"/>
      <c r="N44" s="181"/>
      <c r="O44" s="193"/>
      <c r="P44" s="208"/>
      <c r="Q44" s="232"/>
      <c r="R44" s="190"/>
      <c r="S44" s="193"/>
      <c r="T44" s="50"/>
      <c r="U44" s="50"/>
      <c r="V44" s="190"/>
      <c r="W44" s="209"/>
      <c r="X44" s="17"/>
      <c r="Y44" s="17"/>
      <c r="Z44" s="17"/>
      <c r="AA44" s="17"/>
      <c r="AB44" s="17"/>
      <c r="AC44" s="17"/>
      <c r="AD44" s="17"/>
      <c r="AE44" s="17"/>
      <c r="AF44" s="17"/>
      <c r="AG44" s="17"/>
      <c r="AH44" s="17"/>
      <c r="AI44" s="17"/>
      <c r="AJ44" s="17"/>
    </row>
    <row r="45" spans="1:36" ht="18.899999999999999" thickTop="1" thickBot="1">
      <c r="A45" s="116" t="str">
        <f ca="1">VLOOKUP(C45,Postupy!$A$3:$C$66,3,0)</f>
        <v/>
      </c>
      <c r="B45" s="179"/>
      <c r="C45" s="110">
        <v>44</v>
      </c>
      <c r="D45" s="111" t="str">
        <f ca="1">VLOOKUP(C45,Postupy!$A$3:$B$66,2,0)</f>
        <v xml:space="preserve"> - </v>
      </c>
      <c r="E45" s="156"/>
      <c r="F45" s="204" t="s">
        <v>119</v>
      </c>
      <c r="G45" s="184"/>
      <c r="H45" s="371" t="s">
        <v>447</v>
      </c>
      <c r="I45" s="374" t="str">
        <f ca="1">IF(OR(TRIM(H46)="-",TRIM(H47)="-"),"",VLOOKUP(MIN(G46,G47),Hřiště!$B$11:$E$42,4,0))</f>
        <v/>
      </c>
      <c r="J45" s="190"/>
      <c r="K45" s="193"/>
      <c r="L45" s="201"/>
      <c r="M45" s="229"/>
      <c r="N45" s="181"/>
      <c r="O45" s="193"/>
      <c r="P45" s="208"/>
      <c r="Q45" s="232"/>
      <c r="R45" s="190"/>
      <c r="S45" s="193"/>
      <c r="T45" s="50"/>
      <c r="U45" s="50"/>
      <c r="V45" s="190"/>
      <c r="W45" s="209"/>
      <c r="X45" s="17"/>
      <c r="Y45" s="17"/>
      <c r="Z45" s="17"/>
      <c r="AA45" s="17"/>
      <c r="AB45" s="17"/>
      <c r="AC45" s="17"/>
      <c r="AD45" s="17"/>
      <c r="AE45" s="17"/>
      <c r="AF45" s="17"/>
      <c r="AG45" s="17"/>
      <c r="AH45" s="17"/>
      <c r="AI45" s="17"/>
      <c r="AJ45" s="17"/>
    </row>
    <row r="46" spans="1:36" ht="18.45" thickTop="1" thickBot="1">
      <c r="A46" s="107"/>
      <c r="B46" s="187"/>
      <c r="C46" s="187">
        <f>C44+C45</f>
        <v>65</v>
      </c>
      <c r="D46" s="188"/>
      <c r="E46" s="228"/>
      <c r="F46" s="189"/>
      <c r="G46" s="108">
        <v>21</v>
      </c>
      <c r="H46" s="109" t="str">
        <f ca="1">IF(OR(TRIM(D44)="-",TRIM(D45)="-"), IF(TRIM(D44)="-",D45,D44),IF(AND(E44="",E45="")," ",IF(N(E44)=N(E45)," ",IF(N(E44)&gt;N(E45),D44,D45))))</f>
        <v>22 SK Sahara Vědomice - Sekerešová Jindřiška</v>
      </c>
      <c r="I46" s="155"/>
      <c r="J46" s="195"/>
      <c r="K46" s="193"/>
      <c r="L46" s="201"/>
      <c r="M46" s="229"/>
      <c r="N46" s="181"/>
      <c r="O46" s="193"/>
      <c r="P46" s="208"/>
      <c r="Q46" s="232"/>
      <c r="R46" s="190"/>
      <c r="S46" s="193"/>
      <c r="T46" s="50"/>
      <c r="U46" s="50"/>
      <c r="V46" s="190"/>
      <c r="W46" s="209"/>
      <c r="X46" s="17"/>
      <c r="Y46" s="17"/>
      <c r="Z46" s="17"/>
      <c r="AA46" s="17"/>
      <c r="AB46" s="17"/>
      <c r="AC46" s="17"/>
      <c r="AD46" s="17"/>
      <c r="AE46" s="17"/>
      <c r="AF46" s="17"/>
      <c r="AG46" s="17"/>
      <c r="AH46" s="17"/>
      <c r="AI46" s="17"/>
      <c r="AJ46" s="17"/>
    </row>
    <row r="47" spans="1:36" ht="18.899999999999999" thickTop="1" thickBot="1">
      <c r="A47" s="104"/>
      <c r="B47" s="191"/>
      <c r="C47" s="192"/>
      <c r="D47" s="371" t="s">
        <v>447</v>
      </c>
      <c r="E47" s="374" t="str">
        <f ca="1">IF(OR(TRIM(D48)="-",TRIM(D49)="-"),"",VLOOKUP(MIN(C48,C49),Hřiště!$B$11:$E$42,4,0))</f>
        <v/>
      </c>
      <c r="F47" s="200"/>
      <c r="G47" s="110">
        <v>12</v>
      </c>
      <c r="H47" s="111" t="str">
        <f ca="1">IF(OR(TRIM(D48)="-",TRIM(D49)="-"), IF(TRIM(D48)="-",D49,D48),IF(AND(E48="",E49="")," ",IF(N(E48)=N(E49)," ",IF(N(E48)&gt;N(E49),D48,D49))))</f>
        <v>12 Orel Řečkovice - Hanák Pavel</v>
      </c>
      <c r="I47" s="156"/>
      <c r="J47" s="182"/>
      <c r="K47" s="181"/>
      <c r="L47" s="201"/>
      <c r="M47" s="231"/>
      <c r="N47" s="181"/>
      <c r="O47" s="193"/>
      <c r="P47" s="208"/>
      <c r="Q47" s="232"/>
      <c r="R47" s="190"/>
      <c r="S47" s="193"/>
      <c r="T47" s="50"/>
      <c r="U47" s="50"/>
      <c r="V47" s="190"/>
      <c r="W47" s="209"/>
      <c r="X47" s="17"/>
      <c r="Y47" s="17"/>
      <c r="Z47" s="17"/>
      <c r="AA47" s="17"/>
      <c r="AB47" s="17"/>
      <c r="AC47" s="17"/>
      <c r="AD47" s="17"/>
      <c r="AE47" s="17"/>
      <c r="AF47" s="17"/>
      <c r="AG47" s="17"/>
      <c r="AH47" s="17"/>
      <c r="AI47" s="17"/>
      <c r="AJ47" s="17"/>
    </row>
    <row r="48" spans="1:36" ht="18.45" thickTop="1" thickBot="1">
      <c r="A48" s="116" t="str">
        <f ca="1">VLOOKUP(C48,Postupy!$A$3:$C$66,3,0)</f>
        <v/>
      </c>
      <c r="B48" s="179"/>
      <c r="C48" s="108">
        <v>53</v>
      </c>
      <c r="D48" s="109" t="str">
        <f ca="1">VLOOKUP(C48,Postupy!$A$3:$B$66,2,0)</f>
        <v xml:space="preserve"> - </v>
      </c>
      <c r="E48" s="155"/>
      <c r="F48" s="205"/>
      <c r="G48" s="202"/>
      <c r="H48" s="203"/>
      <c r="I48" s="233"/>
      <c r="J48" s="181"/>
      <c r="K48" s="181"/>
      <c r="L48" s="198"/>
      <c r="M48" s="231"/>
      <c r="N48" s="181"/>
      <c r="O48" s="193"/>
      <c r="P48" s="212"/>
      <c r="Q48" s="232"/>
      <c r="R48" s="190"/>
      <c r="S48" s="193"/>
      <c r="T48" s="50"/>
      <c r="U48" s="50"/>
      <c r="V48" s="190"/>
      <c r="W48" s="209"/>
      <c r="X48" s="17"/>
      <c r="Y48" s="17"/>
      <c r="Z48" s="17"/>
      <c r="AA48" s="17"/>
      <c r="AB48" s="17"/>
      <c r="AC48" s="17"/>
      <c r="AD48" s="17"/>
      <c r="AE48" s="17"/>
      <c r="AF48" s="17"/>
      <c r="AG48" s="17"/>
      <c r="AH48" s="17"/>
      <c r="AI48" s="17"/>
      <c r="AJ48" s="17"/>
    </row>
    <row r="49" spans="1:36" ht="18.899999999999999" thickTop="1" thickBot="1">
      <c r="A49" s="116" t="str">
        <f ca="1">VLOOKUP(C49,Postupy!$A$3:$C$66,3,0)</f>
        <v>L1</v>
      </c>
      <c r="B49" s="179"/>
      <c r="C49" s="110">
        <v>12</v>
      </c>
      <c r="D49" s="111" t="str">
        <f ca="1">VLOOKUP(C49,Postupy!$A$3:$B$66,2,0)</f>
        <v>12 Orel Řečkovice - Hanák Pavel</v>
      </c>
      <c r="E49" s="156"/>
      <c r="F49" s="206"/>
      <c r="G49" s="181"/>
      <c r="H49" s="198"/>
      <c r="I49" s="231"/>
      <c r="J49" s="181"/>
      <c r="K49" s="181"/>
      <c r="L49" s="207"/>
      <c r="M49" s="232"/>
      <c r="N49" s="190"/>
      <c r="O49" s="184"/>
      <c r="P49" s="371" t="s">
        <v>447</v>
      </c>
      <c r="Q49" s="374" t="str">
        <f ca="1">IF(OR(TRIM(P50)="-",TRIM(P51)="-"),"",VLOOKUP(MIN(O50,O51),Hřiště!$B$11:$E$42,4,0))</f>
        <v/>
      </c>
      <c r="R49" s="190"/>
      <c r="S49" s="193"/>
      <c r="T49" s="50"/>
      <c r="U49" s="50"/>
      <c r="V49" s="190"/>
      <c r="W49" s="209"/>
      <c r="X49" s="17"/>
      <c r="Y49" s="17"/>
      <c r="Z49" s="17"/>
      <c r="AA49" s="17"/>
      <c r="AB49" s="17"/>
      <c r="AC49" s="17"/>
      <c r="AD49" s="17"/>
      <c r="AE49" s="17"/>
      <c r="AF49" s="17"/>
      <c r="AG49" s="17"/>
      <c r="AH49" s="17"/>
      <c r="AI49" s="17"/>
      <c r="AJ49" s="17"/>
    </row>
    <row r="50" spans="1:36" ht="18.45" thickTop="1" thickBot="1">
      <c r="A50" s="107"/>
      <c r="B50" s="187"/>
      <c r="C50" s="187">
        <f>C48+C49</f>
        <v>65</v>
      </c>
      <c r="D50" s="188"/>
      <c r="E50" s="228"/>
      <c r="F50" s="339">
        <f>C46+C50</f>
        <v>130</v>
      </c>
      <c r="G50" s="181"/>
      <c r="H50" s="201"/>
      <c r="I50" s="231"/>
      <c r="J50" s="181"/>
      <c r="K50" s="181"/>
      <c r="L50" s="208"/>
      <c r="M50" s="232"/>
      <c r="N50" s="190"/>
      <c r="O50" s="108">
        <v>5</v>
      </c>
      <c r="P50" s="109" t="str">
        <f ca="1">IF(OR(TRIM(L42)="-",TRIM(L43)="-"), IF(TRIM(L42)="-",L43,L42),IF(AND(M42="",M43="")," ",IF(N(M42)=N(M43)," ",IF(N(M42)&gt;N(M43),L42,L43))))</f>
        <v xml:space="preserve"> </v>
      </c>
      <c r="Q50" s="155"/>
      <c r="R50" s="195"/>
      <c r="S50" s="193"/>
      <c r="T50" s="50"/>
      <c r="U50" s="50"/>
      <c r="V50" s="190"/>
      <c r="W50" s="209"/>
      <c r="X50" s="17"/>
      <c r="Y50" s="17"/>
      <c r="Z50" s="17"/>
      <c r="AA50" s="17"/>
      <c r="AB50" s="17"/>
      <c r="AC50" s="17"/>
      <c r="AD50" s="17"/>
      <c r="AE50" s="17"/>
      <c r="AF50" s="17"/>
      <c r="AG50" s="17"/>
      <c r="AH50" s="17"/>
      <c r="AI50" s="17"/>
      <c r="AJ50" s="17"/>
    </row>
    <row r="51" spans="1:36" ht="18.899999999999999" thickTop="1" thickBot="1">
      <c r="A51" s="104"/>
      <c r="B51" s="191"/>
      <c r="C51" s="192"/>
      <c r="D51" s="371" t="s">
        <v>447</v>
      </c>
      <c r="E51" s="374" t="str">
        <f ca="1">IF(OR(TRIM(D52)="-",TRIM(D53)="-"),"",VLOOKUP(MIN(C52,C53),Hřiště!$B$11:$E$42,4,0))</f>
        <v/>
      </c>
      <c r="F51" s="181"/>
      <c r="G51" s="181"/>
      <c r="H51" s="201"/>
      <c r="I51" s="231"/>
      <c r="J51" s="181"/>
      <c r="K51" s="181"/>
      <c r="L51" s="208"/>
      <c r="M51" s="232"/>
      <c r="N51" s="190"/>
      <c r="O51" s="110">
        <v>4</v>
      </c>
      <c r="P51" s="111" t="str">
        <f ca="1">IF(OR(TRIM(L58)="-",TRIM(L59)="-"),IF(TRIM(L58)="-",L59,L58),IF(AND(M58="",M59="")," ",IF(N(M58)=N(M59)," ",IF(N(M58)&gt;N(M59),L58,L59))))</f>
        <v xml:space="preserve"> </v>
      </c>
      <c r="Q51" s="156"/>
      <c r="R51" s="182"/>
      <c r="S51" s="181"/>
      <c r="T51" s="50"/>
      <c r="U51" s="181"/>
      <c r="V51" s="190"/>
      <c r="W51" s="209"/>
      <c r="X51" s="17"/>
      <c r="Y51" s="17"/>
      <c r="Z51" s="17"/>
      <c r="AA51" s="17"/>
      <c r="AB51" s="17"/>
      <c r="AC51" s="17"/>
      <c r="AD51" s="17"/>
      <c r="AE51" s="17"/>
      <c r="AF51" s="17"/>
      <c r="AG51" s="17"/>
      <c r="AH51" s="17"/>
      <c r="AI51" s="17"/>
      <c r="AJ51" s="17"/>
    </row>
    <row r="52" spans="1:36" ht="18.45" thickTop="1" thickBot="1">
      <c r="A52" s="116" t="str">
        <f ca="1">VLOOKUP(C52,Postupy!$A$3:$C$66,3,0)</f>
        <v>M1</v>
      </c>
      <c r="B52" s="179"/>
      <c r="C52" s="108">
        <v>13</v>
      </c>
      <c r="D52" s="109" t="str">
        <f ca="1">VLOOKUP(C52,Postupy!$A$3:$B$66,2,0)</f>
        <v>20 Carreau Brno - Pellizon Boris Alfred</v>
      </c>
      <c r="E52" s="155"/>
      <c r="F52" s="184"/>
      <c r="G52" s="181"/>
      <c r="H52" s="198"/>
      <c r="I52" s="231"/>
      <c r="J52" s="181"/>
      <c r="K52" s="181"/>
      <c r="L52" s="208"/>
      <c r="M52" s="232"/>
      <c r="N52" s="189"/>
      <c r="O52" s="202"/>
      <c r="P52" s="215"/>
      <c r="Q52" s="229"/>
      <c r="R52" s="181"/>
      <c r="S52" s="181"/>
      <c r="T52" s="50"/>
      <c r="U52" s="181"/>
      <c r="V52" s="190"/>
      <c r="W52" s="209"/>
      <c r="X52" s="17"/>
      <c r="Y52" s="17"/>
      <c r="Z52" s="17"/>
      <c r="AA52" s="17"/>
      <c r="AB52" s="17"/>
      <c r="AC52" s="17"/>
      <c r="AD52" s="17"/>
      <c r="AE52" s="17"/>
      <c r="AF52" s="17"/>
      <c r="AG52" s="17"/>
      <c r="AH52" s="17"/>
      <c r="AI52" s="17"/>
      <c r="AJ52" s="17"/>
    </row>
    <row r="53" spans="1:36" ht="18.899999999999999" thickTop="1" thickBot="1">
      <c r="A53" s="116" t="str">
        <f ca="1">VLOOKUP(C53,Postupy!$A$3:$C$66,3,0)</f>
        <v/>
      </c>
      <c r="B53" s="179"/>
      <c r="C53" s="110">
        <v>52</v>
      </c>
      <c r="D53" s="111" t="str">
        <f ca="1">VLOOKUP(C53,Postupy!$A$3:$B$66,2,0)</f>
        <v xml:space="preserve"> - </v>
      </c>
      <c r="E53" s="156"/>
      <c r="F53" s="210"/>
      <c r="G53" s="184"/>
      <c r="H53" s="371" t="s">
        <v>447</v>
      </c>
      <c r="I53" s="374" t="str">
        <f ca="1">IF(OR(TRIM(H54)="-",TRIM(H55)="-"),"",VLOOKUP(MIN(G54,G55),Hřiště!$B$11:$E$42,4,0))</f>
        <v/>
      </c>
      <c r="J53" s="181"/>
      <c r="K53" s="181"/>
      <c r="L53" s="208"/>
      <c r="M53" s="232"/>
      <c r="N53" s="189"/>
      <c r="O53" s="50"/>
      <c r="P53" s="186"/>
      <c r="Q53" s="229"/>
      <c r="R53" s="181"/>
      <c r="S53" s="181"/>
      <c r="T53" s="50"/>
      <c r="U53" s="181"/>
      <c r="V53" s="190"/>
      <c r="W53" s="209"/>
      <c r="X53" s="17"/>
      <c r="Y53" s="17"/>
      <c r="Z53" s="17"/>
      <c r="AA53" s="17"/>
      <c r="AB53" s="17"/>
      <c r="AC53" s="17"/>
      <c r="AD53" s="17"/>
      <c r="AE53" s="17"/>
      <c r="AF53" s="17"/>
      <c r="AG53" s="17"/>
      <c r="AH53" s="17"/>
      <c r="AI53" s="17"/>
      <c r="AJ53" s="17"/>
    </row>
    <row r="54" spans="1:36" ht="18.45" thickTop="1" thickBot="1">
      <c r="A54" s="107"/>
      <c r="B54" s="187"/>
      <c r="C54" s="187">
        <f>C52+C53</f>
        <v>65</v>
      </c>
      <c r="D54" s="188"/>
      <c r="E54" s="228"/>
      <c r="F54" s="189"/>
      <c r="G54" s="108">
        <v>13</v>
      </c>
      <c r="H54" s="109" t="str">
        <f ca="1">IF(OR(TRIM(D52)="-",TRIM(D53)="-"), IF(TRIM(D52)="-",D53,D52),IF(AND(E52="",E53="")," ",IF(N(E52)=N(E53)," ",IF(N(E52)&gt;N(E53),D52,D53))))</f>
        <v>20 Carreau Brno - Pellizon Boris Alfred</v>
      </c>
      <c r="I54" s="155"/>
      <c r="J54" s="180"/>
      <c r="K54" s="181"/>
      <c r="L54" s="208"/>
      <c r="M54" s="232"/>
      <c r="N54" s="189"/>
      <c r="O54" s="50"/>
      <c r="P54" s="186"/>
      <c r="Q54" s="229"/>
      <c r="R54" s="181"/>
      <c r="S54" s="181"/>
      <c r="T54" s="181"/>
      <c r="U54" s="181"/>
      <c r="V54" s="190"/>
      <c r="W54" s="209"/>
      <c r="X54" s="17"/>
      <c r="Y54" s="17"/>
      <c r="Z54" s="17"/>
      <c r="AA54" s="17"/>
      <c r="AB54" s="17"/>
      <c r="AC54" s="17"/>
      <c r="AD54" s="17"/>
      <c r="AE54" s="17"/>
      <c r="AF54" s="17"/>
      <c r="AG54" s="17"/>
      <c r="AH54" s="17"/>
      <c r="AI54" s="17"/>
      <c r="AJ54" s="17"/>
    </row>
    <row r="55" spans="1:36" ht="18.899999999999999" thickTop="1" thickBot="1">
      <c r="A55" s="104"/>
      <c r="B55" s="191"/>
      <c r="C55" s="192"/>
      <c r="D55" s="371" t="s">
        <v>447</v>
      </c>
      <c r="E55" s="374" t="str">
        <f ca="1">IF(OR(TRIM(D56)="-",TRIM(D57)="-"),"",VLOOKUP(MIN(C56,C57),Hřiště!$B$11:$E$42,4,0))</f>
        <v/>
      </c>
      <c r="F55" s="189"/>
      <c r="G55" s="110">
        <v>20</v>
      </c>
      <c r="H55" s="111" t="str">
        <f ca="1">IF(OR(TRIM(D56)="-",TRIM(D57)="-"), IF(TRIM(D56)="-",D57,D56),IF(AND(E56="",E57="")," ",IF(N(E56)=N(E57)," ",IF(N(E56)&gt;N(E57),D56,D57))))</f>
        <v>19 SKP Hranice VI-Valšovice - Gratcl Jiří</v>
      </c>
      <c r="I55" s="156"/>
      <c r="J55" s="183"/>
      <c r="K55" s="193"/>
      <c r="L55" s="208"/>
      <c r="M55" s="232"/>
      <c r="N55" s="189"/>
      <c r="O55" s="50"/>
      <c r="P55" s="186"/>
      <c r="Q55" s="229"/>
      <c r="R55" s="181"/>
      <c r="S55" s="181"/>
      <c r="T55" s="181"/>
      <c r="U55" s="181"/>
      <c r="V55" s="190"/>
      <c r="W55" s="209"/>
      <c r="X55" s="17"/>
      <c r="Y55" s="17"/>
      <c r="Z55" s="17"/>
      <c r="AA55" s="17"/>
      <c r="AB55" s="17"/>
      <c r="AC55" s="17"/>
      <c r="AD55" s="17"/>
      <c r="AE55" s="17"/>
      <c r="AF55" s="17"/>
      <c r="AG55" s="17"/>
      <c r="AH55" s="17"/>
      <c r="AI55" s="17"/>
      <c r="AJ55" s="17"/>
    </row>
    <row r="56" spans="1:36" ht="18.45" thickTop="1" thickBot="1">
      <c r="A56" s="116" t="str">
        <f ca="1">VLOOKUP(C56,Postupy!$A$3:$C$66,3,0)</f>
        <v/>
      </c>
      <c r="B56" s="179"/>
      <c r="C56" s="108">
        <v>45</v>
      </c>
      <c r="D56" s="109" t="str">
        <f ca="1">VLOOKUP(C56,Postupy!$A$3:$B$66,2,0)</f>
        <v xml:space="preserve"> - </v>
      </c>
      <c r="E56" s="155"/>
      <c r="F56" s="195"/>
      <c r="G56" s="202"/>
      <c r="H56" s="203"/>
      <c r="I56" s="233"/>
      <c r="J56" s="190"/>
      <c r="K56" s="193"/>
      <c r="L56" s="212"/>
      <c r="M56" s="232"/>
      <c r="N56" s="189"/>
      <c r="O56" s="50"/>
      <c r="P56" s="186"/>
      <c r="Q56" s="229"/>
      <c r="R56" s="181"/>
      <c r="S56" s="181"/>
      <c r="T56" s="181"/>
      <c r="U56" s="181"/>
      <c r="V56" s="190"/>
      <c r="W56" s="209"/>
      <c r="X56" s="17"/>
      <c r="Y56" s="17"/>
      <c r="Z56" s="17"/>
      <c r="AA56" s="17"/>
      <c r="AB56" s="17"/>
      <c r="AC56" s="17"/>
      <c r="AD56" s="17"/>
      <c r="AE56" s="17"/>
      <c r="AF56" s="17"/>
      <c r="AG56" s="17"/>
      <c r="AH56" s="17"/>
      <c r="AI56" s="17"/>
      <c r="AJ56" s="17"/>
    </row>
    <row r="57" spans="1:36" ht="18.899999999999999" thickTop="1" thickBot="1">
      <c r="A57" s="116" t="str">
        <f ca="1">VLOOKUP(C57,Postupy!$A$3:$C$66,3,0)</f>
        <v>N2</v>
      </c>
      <c r="B57" s="179"/>
      <c r="C57" s="110">
        <v>20</v>
      </c>
      <c r="D57" s="111" t="str">
        <f ca="1">VLOOKUP(C57,Postupy!$A$3:$B$66,2,0)</f>
        <v>19 SKP Hranice VI-Valšovice - Gratcl Jiří</v>
      </c>
      <c r="E57" s="156"/>
      <c r="F57" s="182"/>
      <c r="G57" s="181"/>
      <c r="H57" s="198"/>
      <c r="I57" s="231"/>
      <c r="J57" s="190"/>
      <c r="K57" s="184"/>
      <c r="L57" s="371" t="s">
        <v>447</v>
      </c>
      <c r="M57" s="374" t="str">
        <f ca="1">IF(OR(TRIM(L58)="-",TRIM(L59)="-"),"",VLOOKUP(MIN(K58,K59),Hřiště!$B$11:$E$42,4,0))</f>
        <v/>
      </c>
      <c r="N57" s="213"/>
      <c r="O57" s="50"/>
      <c r="P57" s="186"/>
      <c r="Q57" s="229"/>
      <c r="R57" s="181"/>
      <c r="S57" s="181"/>
      <c r="T57" s="181"/>
      <c r="U57" s="181"/>
      <c r="V57" s="190"/>
      <c r="W57" s="209"/>
      <c r="X57" s="17"/>
      <c r="Y57" s="17"/>
      <c r="Z57" s="17"/>
      <c r="AA57" s="17"/>
      <c r="AB57" s="17"/>
      <c r="AC57" s="17"/>
      <c r="AD57" s="17"/>
      <c r="AE57" s="17"/>
      <c r="AF57" s="17"/>
      <c r="AG57" s="17"/>
      <c r="AH57" s="17"/>
      <c r="AI57" s="17"/>
      <c r="AJ57" s="17"/>
    </row>
    <row r="58" spans="1:36" ht="18.45" thickTop="1" thickBot="1">
      <c r="A58" s="107"/>
      <c r="B58" s="187"/>
      <c r="C58" s="187">
        <f>C56+C57</f>
        <v>65</v>
      </c>
      <c r="D58" s="188"/>
      <c r="E58" s="228"/>
      <c r="F58" s="339">
        <f>C54+C58</f>
        <v>130</v>
      </c>
      <c r="G58" s="181"/>
      <c r="H58" s="201"/>
      <c r="I58" s="231"/>
      <c r="J58" s="181"/>
      <c r="K58" s="108">
        <v>13</v>
      </c>
      <c r="L58" s="109" t="str">
        <f ca="1">IF(OR(TRIM(H54)="-",TRIM(H55)="-"), IF(TRIM(H54)="-",H55,H54),IF(AND(I54="",I55="")," ",IF(N(I54)=N(I55)," ",IF(N(I54)&gt;N(I55),H54,H55))))</f>
        <v xml:space="preserve"> </v>
      </c>
      <c r="M58" s="155"/>
      <c r="N58" s="195"/>
      <c r="O58" s="181"/>
      <c r="P58" s="186"/>
      <c r="Q58" s="231"/>
      <c r="R58" s="181"/>
      <c r="S58" s="181"/>
      <c r="T58" s="181"/>
      <c r="U58" s="181"/>
      <c r="V58" s="190"/>
      <c r="W58" s="209"/>
      <c r="X58" s="17"/>
      <c r="Y58" s="17"/>
      <c r="Z58" s="17"/>
      <c r="AA58" s="17"/>
      <c r="AB58" s="17"/>
      <c r="AC58" s="17"/>
      <c r="AD58" s="17"/>
      <c r="AE58" s="17"/>
      <c r="AF58" s="17"/>
      <c r="AG58" s="17"/>
      <c r="AH58" s="17"/>
      <c r="AI58" s="17"/>
      <c r="AJ58" s="17"/>
    </row>
    <row r="59" spans="1:36" ht="18.899999999999999" thickTop="1" thickBot="1">
      <c r="A59" s="104"/>
      <c r="B59" s="191"/>
      <c r="C59" s="192"/>
      <c r="D59" s="371" t="s">
        <v>447</v>
      </c>
      <c r="E59" s="374" t="str">
        <f ca="1">IF(OR(TRIM(D60)="-",TRIM(D61)="-"),"",VLOOKUP(MIN(C60,C61),Hřiště!$B$11:$E$42,4,0))</f>
        <v/>
      </c>
      <c r="F59" s="181"/>
      <c r="G59" s="181"/>
      <c r="H59" s="201"/>
      <c r="I59" s="231"/>
      <c r="J59" s="181"/>
      <c r="K59" s="110">
        <v>4</v>
      </c>
      <c r="L59" s="111" t="str">
        <f ca="1">IF(OR(TRIM(H62)="-",TRIM(H63)="-"), IF(TRIM(H62)="-",H63,H62),IF(AND(I62="",I63="")," ",IF(N(I62)=N(I63)," ",IF(N(I62)&gt;N(I63),H62,H63))))</f>
        <v xml:space="preserve"> </v>
      </c>
      <c r="M59" s="156"/>
      <c r="N59" s="182"/>
      <c r="O59" s="181"/>
      <c r="P59" s="186"/>
      <c r="Q59" s="231"/>
      <c r="R59" s="181"/>
      <c r="S59" s="181"/>
      <c r="T59" s="181"/>
      <c r="U59" s="181"/>
      <c r="V59" s="190"/>
      <c r="W59" s="209"/>
      <c r="X59" s="17"/>
      <c r="Y59" s="17"/>
      <c r="Z59" s="17"/>
      <c r="AA59" s="17"/>
      <c r="AB59" s="17"/>
      <c r="AC59" s="17"/>
      <c r="AD59" s="17"/>
      <c r="AE59" s="17"/>
      <c r="AF59" s="17"/>
      <c r="AG59" s="17"/>
      <c r="AH59" s="17"/>
      <c r="AI59" s="17"/>
      <c r="AJ59" s="17"/>
    </row>
    <row r="60" spans="1:36" ht="18.45" thickTop="1" thickBot="1">
      <c r="A60" s="116" t="str">
        <f ca="1">VLOOKUP(C60,Postupy!$A$3:$C$66,3,0)</f>
        <v>C2</v>
      </c>
      <c r="B60" s="179"/>
      <c r="C60" s="108">
        <v>29</v>
      </c>
      <c r="D60" s="109" t="str">
        <f ca="1">VLOOKUP(C60,Postupy!$A$3:$B$66,2,0)</f>
        <v>35 PKT Velký Šanc - Horálek Jiří</v>
      </c>
      <c r="E60" s="155"/>
      <c r="F60" s="184"/>
      <c r="G60" s="181"/>
      <c r="H60" s="198"/>
      <c r="I60" s="232"/>
      <c r="J60" s="190"/>
      <c r="K60" s="202"/>
      <c r="L60" s="215"/>
      <c r="M60" s="233"/>
      <c r="N60" s="181"/>
      <c r="O60" s="181"/>
      <c r="P60" s="181"/>
      <c r="Q60" s="231"/>
      <c r="R60" s="181"/>
      <c r="S60" s="181"/>
      <c r="T60" s="181"/>
      <c r="U60" s="181"/>
      <c r="V60" s="190"/>
      <c r="W60" s="209"/>
      <c r="X60" s="17"/>
      <c r="Y60" s="17"/>
      <c r="Z60" s="17"/>
      <c r="AA60" s="17"/>
      <c r="AB60" s="17"/>
      <c r="AC60" s="17"/>
      <c r="AD60" s="17"/>
      <c r="AE60" s="17"/>
      <c r="AF60" s="17"/>
      <c r="AG60" s="17"/>
      <c r="AH60" s="17"/>
      <c r="AI60" s="17"/>
      <c r="AJ60" s="17"/>
    </row>
    <row r="61" spans="1:36" ht="18.899999999999999" thickTop="1" thickBot="1">
      <c r="A61" s="116" t="str">
        <f ca="1">VLOOKUP(C61,Postupy!$A$3:$C$66,3,0)</f>
        <v/>
      </c>
      <c r="B61" s="179"/>
      <c r="C61" s="110">
        <v>36</v>
      </c>
      <c r="D61" s="111" t="str">
        <f ca="1">VLOOKUP(C61,Postupy!$A$3:$B$66,2,0)</f>
        <v xml:space="preserve"> - </v>
      </c>
      <c r="E61" s="156"/>
      <c r="F61" s="204" t="s">
        <v>119</v>
      </c>
      <c r="G61" s="184"/>
      <c r="H61" s="371" t="s">
        <v>447</v>
      </c>
      <c r="I61" s="374" t="str">
        <f ca="1">IF(OR(TRIM(H62)="-",TRIM(H63)="-"),"",VLOOKUP(MIN(G62,G63),Hřiště!$B$11:$E$42,4,0))</f>
        <v/>
      </c>
      <c r="J61" s="190"/>
      <c r="K61" s="193"/>
      <c r="L61" s="186"/>
      <c r="M61" s="229"/>
      <c r="N61" s="181"/>
      <c r="O61" s="181"/>
      <c r="P61" s="181"/>
      <c r="Q61" s="231"/>
      <c r="R61" s="181"/>
      <c r="S61" s="181"/>
      <c r="T61" s="181"/>
      <c r="U61" s="181"/>
      <c r="V61" s="190"/>
      <c r="W61" s="209"/>
      <c r="X61" s="17"/>
      <c r="Y61" s="17"/>
      <c r="Z61" s="17"/>
      <c r="AA61" s="17"/>
      <c r="AB61" s="17"/>
      <c r="AC61" s="17"/>
      <c r="AD61" s="17"/>
      <c r="AE61" s="17"/>
      <c r="AF61" s="17"/>
      <c r="AG61" s="17"/>
      <c r="AH61" s="17"/>
      <c r="AI61" s="17"/>
      <c r="AJ61" s="17"/>
    </row>
    <row r="62" spans="1:36" ht="18.45" thickTop="1" thickBot="1">
      <c r="A62" s="107"/>
      <c r="B62" s="187"/>
      <c r="C62" s="187">
        <f>C60+C61</f>
        <v>65</v>
      </c>
      <c r="D62" s="188"/>
      <c r="E62" s="228"/>
      <c r="F62" s="23"/>
      <c r="G62" s="108">
        <v>29</v>
      </c>
      <c r="H62" s="109" t="str">
        <f ca="1">IF(OR(TRIM(D60)="-",TRIM(D61)="-"), IF(TRIM(D60)="-",D61,D60),IF(AND(E60="",E61="")," ",IF(N(E60)=N(E61)," ",IF(N(E60)&gt;N(E61),D60,D61))))</f>
        <v>35 PKT Velký Šanc - Horálek Jiří</v>
      </c>
      <c r="I62" s="155"/>
      <c r="J62" s="195"/>
      <c r="K62" s="193"/>
      <c r="L62" s="186"/>
      <c r="M62" s="229"/>
      <c r="N62" s="181"/>
      <c r="O62" s="181"/>
      <c r="P62" s="181"/>
      <c r="Q62" s="231"/>
      <c r="R62" s="181"/>
      <c r="S62" s="181"/>
      <c r="T62" s="181"/>
      <c r="U62" s="181"/>
      <c r="V62" s="190"/>
      <c r="W62" s="209"/>
      <c r="X62" s="17"/>
      <c r="Y62" s="17"/>
      <c r="Z62" s="17"/>
      <c r="AA62" s="17"/>
      <c r="AB62" s="17"/>
      <c r="AC62" s="17"/>
      <c r="AD62" s="17"/>
      <c r="AE62" s="17"/>
      <c r="AF62" s="17"/>
      <c r="AG62" s="17"/>
      <c r="AH62" s="17"/>
      <c r="AI62" s="17"/>
      <c r="AJ62" s="17"/>
    </row>
    <row r="63" spans="1:36" ht="18.899999999999999" thickTop="1" thickBot="1">
      <c r="A63" s="104"/>
      <c r="B63" s="191"/>
      <c r="C63" s="192"/>
      <c r="D63" s="371" t="s">
        <v>447</v>
      </c>
      <c r="E63" s="374" t="str">
        <f ca="1">IF(OR(TRIM(D64)="-",TRIM(D65)="-"),"",VLOOKUP(MIN(C64,C65),Hřiště!$B$11:$E$42,4,0))</f>
        <v/>
      </c>
      <c r="F63" s="200"/>
      <c r="G63" s="110">
        <v>4</v>
      </c>
      <c r="H63" s="111" t="str">
        <f ca="1">IF(OR(TRIM(D64)="-",TRIM(D65)="-"), IF(TRIM(D64)="-",D65,D64),IF(AND(E64="",E65="")," ",IF(N(E64)=N(E65)," ",IF(N(E64)&gt;N(E65),D64,D65))))</f>
        <v>4 CdP Loděnice - Resl Jan</v>
      </c>
      <c r="I63" s="156"/>
      <c r="J63" s="182"/>
      <c r="K63" s="181"/>
      <c r="L63" s="186"/>
      <c r="M63" s="231"/>
      <c r="N63" s="181"/>
      <c r="O63" s="181"/>
      <c r="P63" s="181"/>
      <c r="Q63" s="231"/>
      <c r="R63" s="181"/>
      <c r="S63" s="181"/>
      <c r="T63" s="181"/>
      <c r="U63" s="181"/>
      <c r="V63" s="190"/>
      <c r="W63" s="209"/>
      <c r="X63" s="17"/>
      <c r="Y63" s="17"/>
      <c r="Z63" s="17"/>
      <c r="AA63" s="17"/>
      <c r="AB63" s="17"/>
      <c r="AC63" s="17"/>
      <c r="AD63" s="17"/>
      <c r="AE63" s="17"/>
      <c r="AF63" s="17"/>
      <c r="AG63" s="17"/>
      <c r="AH63" s="17"/>
      <c r="AI63" s="17"/>
      <c r="AJ63" s="17"/>
    </row>
    <row r="64" spans="1:36" ht="18.899999999999999" thickTop="1" thickBot="1">
      <c r="A64" s="116" t="str">
        <f ca="1">VLOOKUP(C64,Postupy!$A$3:$C$66,3,0)</f>
        <v/>
      </c>
      <c r="B64" s="179"/>
      <c r="C64" s="108">
        <v>61</v>
      </c>
      <c r="D64" s="109" t="str">
        <f ca="1">VLOOKUP(C64,Postupy!$A$3:$B$66,2,0)</f>
        <v xml:space="preserve"> - </v>
      </c>
      <c r="E64" s="155"/>
      <c r="F64" s="205"/>
      <c r="G64" s="202"/>
      <c r="H64" s="216"/>
      <c r="I64" s="233"/>
      <c r="J64" s="181"/>
      <c r="K64" s="181"/>
      <c r="L64" s="217"/>
      <c r="M64" s="231"/>
      <c r="N64" s="181"/>
      <c r="O64" s="181"/>
      <c r="P64" s="181"/>
      <c r="Q64" s="231"/>
      <c r="R64" s="181"/>
      <c r="S64" s="181"/>
      <c r="T64" s="181"/>
      <c r="U64" s="181"/>
      <c r="V64" s="190"/>
      <c r="W64" s="209"/>
      <c r="X64" s="244" t="s">
        <v>132</v>
      </c>
      <c r="Y64" s="17"/>
      <c r="Z64" s="17"/>
      <c r="AA64" s="17"/>
      <c r="AB64" s="17"/>
      <c r="AC64" s="17"/>
      <c r="AD64" s="17"/>
      <c r="AE64" s="17"/>
      <c r="AF64" s="17"/>
      <c r="AG64" s="17"/>
      <c r="AH64" s="17"/>
      <c r="AI64" s="17"/>
      <c r="AJ64" s="17"/>
    </row>
    <row r="65" spans="1:36" ht="18.899999999999999" thickTop="1" thickBot="1">
      <c r="A65" s="116" t="str">
        <f ca="1">VLOOKUP(C65,Postupy!$A$3:$C$66,3,0)</f>
        <v>D1</v>
      </c>
      <c r="B65" s="179"/>
      <c r="C65" s="110">
        <v>4</v>
      </c>
      <c r="D65" s="111" t="str">
        <f ca="1">VLOOKUP(C65,Postupy!$A$3:$B$66,2,0)</f>
        <v>4 CdP Loděnice - Resl Jan</v>
      </c>
      <c r="E65" s="156"/>
      <c r="F65" s="206"/>
      <c r="G65" s="181"/>
      <c r="H65" s="190"/>
      <c r="I65" s="231"/>
      <c r="J65" s="181"/>
      <c r="K65" s="181"/>
      <c r="L65" s="218"/>
      <c r="M65" s="231"/>
      <c r="N65" s="181"/>
      <c r="O65" s="181"/>
      <c r="P65" s="181"/>
      <c r="Q65" s="231"/>
      <c r="R65" s="181"/>
      <c r="S65" s="181"/>
      <c r="T65" s="181"/>
      <c r="U65" s="181"/>
      <c r="V65" s="190"/>
      <c r="W65" s="184"/>
      <c r="X65" s="371" t="s">
        <v>447</v>
      </c>
      <c r="Y65" s="374" t="str">
        <f ca="1">IF(OR(TRIM(X66)="-",TRIM(X67)="-"),"",VLOOKUP(MIN(W66,W67),Hřiště!$B$11:$E$42,4,0))</f>
        <v/>
      </c>
      <c r="Z65" s="17"/>
      <c r="AA65" s="17"/>
      <c r="AB65" s="17"/>
      <c r="AC65" s="17"/>
      <c r="AD65" s="17"/>
      <c r="AE65" s="17"/>
      <c r="AF65" s="17"/>
      <c r="AG65" s="17"/>
      <c r="AH65" s="17"/>
      <c r="AI65" s="17"/>
      <c r="AJ65" s="17"/>
    </row>
    <row r="66" spans="1:36" ht="18.45" thickTop="1" thickBot="1">
      <c r="A66" s="221"/>
      <c r="B66" s="222"/>
      <c r="C66" s="223">
        <f>C64+C65</f>
        <v>65</v>
      </c>
      <c r="D66" s="224"/>
      <c r="E66" s="230"/>
      <c r="F66" s="339">
        <f>C62+C66</f>
        <v>130</v>
      </c>
      <c r="G66" s="226"/>
      <c r="H66" s="226"/>
      <c r="I66" s="235"/>
      <c r="J66" s="226"/>
      <c r="K66" s="226"/>
      <c r="L66" s="226"/>
      <c r="M66" s="235"/>
      <c r="N66" s="226"/>
      <c r="O66" s="235"/>
      <c r="P66" s="226"/>
      <c r="Q66" s="235"/>
      <c r="R66" s="226"/>
      <c r="S66" s="235"/>
      <c r="T66" s="226"/>
      <c r="U66" s="235"/>
      <c r="V66" s="190"/>
      <c r="W66" s="39">
        <v>1</v>
      </c>
      <c r="X66" s="109" t="str">
        <f ca="1">IF(OR(TRIM(T34)="-",TRIM(T35)="-"),IF(TRIM(T34)="-",T35,T34),IF(AND(U34="",U35="")," ",IF(N(U34)=N(U35)," ",IF(N(U34)&gt;N(U35),T34,T35))))</f>
        <v xml:space="preserve"> </v>
      </c>
      <c r="Y66" s="155"/>
      <c r="Z66" s="195"/>
      <c r="AA66" s="39">
        <v>1</v>
      </c>
      <c r="AB66" s="133" t="str">
        <f>IF(AND(Y66="",Y67="")," ",IF(N(Y66)=N(Y67)," ",IF(N(Y66)&gt;N(Y67),X66,X67)))</f>
        <v xml:space="preserve"> </v>
      </c>
      <c r="AC66" s="40">
        <v>1</v>
      </c>
      <c r="AD66" s="17"/>
      <c r="AE66" s="17"/>
      <c r="AF66" s="17"/>
      <c r="AG66" s="17"/>
      <c r="AH66" s="17"/>
      <c r="AI66" s="17"/>
      <c r="AJ66" s="17"/>
    </row>
    <row r="67" spans="1:36" ht="18.899999999999999" thickTop="1" thickBot="1">
      <c r="A67" s="107"/>
      <c r="B67" s="22"/>
      <c r="C67" s="220"/>
      <c r="D67" s="371" t="s">
        <v>447</v>
      </c>
      <c r="E67" s="374" t="str">
        <f ca="1">IF(OR(TRIM(D68)="-",TRIM(D69)="-"),"",VLOOKUP(MIN(C68,C69),Hřiště!$B$11:$E$42,4,0))</f>
        <v/>
      </c>
      <c r="F67" s="22"/>
      <c r="G67" s="30"/>
      <c r="H67" s="182"/>
      <c r="I67" s="233"/>
      <c r="J67" s="182"/>
      <c r="K67" s="182"/>
      <c r="L67" s="182"/>
      <c r="M67" s="236"/>
      <c r="N67" s="182"/>
      <c r="O67" s="236"/>
      <c r="P67" s="182"/>
      <c r="Q67" s="236"/>
      <c r="R67" s="182"/>
      <c r="S67" s="236"/>
      <c r="T67" s="182"/>
      <c r="U67" s="236"/>
      <c r="V67" s="190"/>
      <c r="W67" s="110">
        <v>2</v>
      </c>
      <c r="X67" s="111" t="str">
        <f ca="1">IF(OR(TRIM(T98)="-",TRIM(T99)="-"), IF(TRIM(T98)="-",T99,T98),IF(AND(U98="",U99="")," ",IF(N(U98)=N(U99)," ",IF(N(U98)&gt;N(U99),T98,T99))))</f>
        <v xml:space="preserve"> </v>
      </c>
      <c r="Y67" s="156"/>
      <c r="Z67" s="181"/>
      <c r="AA67" s="39">
        <v>2</v>
      </c>
      <c r="AB67" s="131" t="str">
        <f>IF(AND(Y66="",Y67="")," ",IF(N(Y67)=N(Y66)," ",IF(N(Y67)&gt;N(Y66),X66,X67)))</f>
        <v xml:space="preserve"> </v>
      </c>
      <c r="AC67" s="130">
        <v>2</v>
      </c>
      <c r="AD67" s="17"/>
      <c r="AE67" s="17"/>
      <c r="AF67" s="17"/>
      <c r="AG67" s="17"/>
      <c r="AH67" s="17"/>
      <c r="AI67" s="17"/>
      <c r="AJ67" s="17"/>
    </row>
    <row r="68" spans="1:36" ht="18.45" thickTop="1" thickBot="1">
      <c r="A68" s="116" t="str">
        <f ca="1">VLOOKUP(C68,Postupy!$A$3:$C$66,3,0)</f>
        <v>C1</v>
      </c>
      <c r="B68" s="179"/>
      <c r="C68" s="108">
        <v>3</v>
      </c>
      <c r="D68" s="109" t="str">
        <f ca="1">VLOOKUP(C68,Postupy!$A$3:$B$66,2,0)</f>
        <v>3 PC Sokol Lipník - Konšel Jakub</v>
      </c>
      <c r="E68" s="155"/>
      <c r="F68" s="180"/>
      <c r="G68" s="181"/>
      <c r="H68" s="182"/>
      <c r="I68" s="231"/>
      <c r="J68" s="181"/>
      <c r="K68" s="181"/>
      <c r="L68" s="181"/>
      <c r="M68" s="231"/>
      <c r="N68" s="181"/>
      <c r="O68" s="181"/>
      <c r="P68" s="50"/>
      <c r="Q68" s="229"/>
      <c r="R68" s="50"/>
      <c r="S68" s="181"/>
      <c r="T68" s="17"/>
      <c r="U68" s="17"/>
      <c r="V68" s="189"/>
      <c r="W68" s="202"/>
      <c r="X68" s="18"/>
      <c r="Y68" s="17"/>
      <c r="Z68" s="17"/>
      <c r="AA68" s="17"/>
      <c r="AB68" s="17"/>
      <c r="AC68" s="17"/>
      <c r="AD68" s="17"/>
      <c r="AE68" s="17"/>
      <c r="AF68" s="17"/>
      <c r="AG68" s="17"/>
      <c r="AH68" s="17"/>
      <c r="AI68" s="17"/>
      <c r="AJ68" s="17"/>
    </row>
    <row r="69" spans="1:36" ht="18.899999999999999" thickTop="1" thickBot="1">
      <c r="A69" s="116" t="str">
        <f ca="1">VLOOKUP(C69,Postupy!$A$3:$C$66,3,0)</f>
        <v/>
      </c>
      <c r="B69" s="179"/>
      <c r="C69" s="110">
        <v>62</v>
      </c>
      <c r="D69" s="111" t="str">
        <f ca="1">VLOOKUP(C69,Postupy!$A$3:$B$66,2,0)</f>
        <v xml:space="preserve"> - </v>
      </c>
      <c r="E69" s="156"/>
      <c r="F69" s="183"/>
      <c r="G69" s="184"/>
      <c r="H69" s="371" t="s">
        <v>447</v>
      </c>
      <c r="I69" s="374" t="str">
        <f ca="1">IF(OR(TRIM(H70)="-",TRIM(H71)="-"),"",VLOOKUP(MIN(G70,G71),Hřiště!$B$11:$E$42,4,0))</f>
        <v/>
      </c>
      <c r="J69" s="181"/>
      <c r="K69" s="181"/>
      <c r="L69" s="181"/>
      <c r="M69" s="231"/>
      <c r="N69" s="181"/>
      <c r="O69" s="190"/>
      <c r="P69" s="17"/>
      <c r="Q69" s="237"/>
      <c r="R69" s="17"/>
      <c r="S69" s="17"/>
      <c r="T69" s="17"/>
      <c r="U69" s="17"/>
      <c r="V69" s="189"/>
      <c r="W69" s="50"/>
      <c r="X69" s="18"/>
      <c r="Y69" s="17"/>
      <c r="Z69" s="17"/>
      <c r="AA69" s="17"/>
      <c r="AB69" s="17"/>
      <c r="AC69" s="17"/>
      <c r="AD69" s="17"/>
      <c r="AE69" s="17"/>
      <c r="AF69" s="17"/>
      <c r="AG69" s="17"/>
      <c r="AH69" s="17"/>
      <c r="AI69" s="17"/>
      <c r="AJ69" s="17"/>
    </row>
    <row r="70" spans="1:36" ht="18" thickBot="1">
      <c r="A70" s="107"/>
      <c r="B70" s="187"/>
      <c r="C70" s="187">
        <f>C68+C69</f>
        <v>65</v>
      </c>
      <c r="D70" s="188"/>
      <c r="E70" s="228"/>
      <c r="F70" s="189"/>
      <c r="G70" s="108">
        <v>3</v>
      </c>
      <c r="H70" s="109" t="str">
        <f ca="1">IF(OR(TRIM(D68)="-",TRIM(D69)="-"), IF(TRIM(D68)="-",D69,D68),IF(AND(E68="",E69="")," ",IF(N(E68)=N(E69)," ",IF(N(E68)&gt;N(E69),D68,D69))))</f>
        <v>3 PC Sokol Lipník - Konšel Jakub</v>
      </c>
      <c r="I70" s="155"/>
      <c r="J70" s="180"/>
      <c r="K70" s="181"/>
      <c r="L70" s="186"/>
      <c r="M70" s="231"/>
      <c r="N70" s="181"/>
      <c r="O70" s="181"/>
      <c r="P70" s="186"/>
      <c r="Q70" s="231"/>
      <c r="R70" s="181"/>
      <c r="S70" s="181"/>
      <c r="T70" s="181"/>
      <c r="U70" s="181"/>
      <c r="V70" s="189"/>
      <c r="W70" s="50"/>
      <c r="X70" s="17"/>
      <c r="Y70" s="17"/>
      <c r="Z70" s="17"/>
      <c r="AA70" s="17"/>
      <c r="AB70" s="17"/>
      <c r="AC70" s="17"/>
      <c r="AD70" s="17"/>
      <c r="AE70" s="17"/>
      <c r="AF70" s="17"/>
      <c r="AG70" s="17"/>
      <c r="AH70" s="17"/>
      <c r="AI70" s="17"/>
      <c r="AJ70" s="17"/>
    </row>
    <row r="71" spans="1:36" ht="18.899999999999999" thickTop="1" thickBot="1">
      <c r="A71" s="104"/>
      <c r="B71" s="191"/>
      <c r="C71" s="192"/>
      <c r="D71" s="371" t="s">
        <v>447</v>
      </c>
      <c r="E71" s="374" t="str">
        <f ca="1">IF(OR(TRIM(D72)="-",TRIM(D73)="-"),"",VLOOKUP(MIN(C72,C73),Hřiště!$B$11:$E$42,4,0))</f>
        <v/>
      </c>
      <c r="F71" s="189"/>
      <c r="G71" s="110">
        <v>30</v>
      </c>
      <c r="H71" s="111" t="str">
        <f ca="1">IF(OR(TRIM(D72)="-",TRIM(D73)="-"), IF(TRIM(D72)="-",D73,D72),IF(AND(E72="",E73="")," ",IF(N(E72)=N(E73)," ",IF(N(E72)&gt;N(E73),D72,D73))))</f>
        <v>29 Carreau Brno - Grepl Jiří</v>
      </c>
      <c r="I71" s="156"/>
      <c r="J71" s="183"/>
      <c r="K71" s="193"/>
      <c r="L71" s="194"/>
      <c r="M71" s="229"/>
      <c r="N71" s="181"/>
      <c r="O71" s="181"/>
      <c r="P71" s="186"/>
      <c r="Q71" s="231"/>
      <c r="R71" s="181"/>
      <c r="S71" s="181"/>
      <c r="T71" s="181"/>
      <c r="U71" s="181"/>
      <c r="V71" s="189"/>
      <c r="W71" s="50"/>
      <c r="X71" s="17"/>
      <c r="Y71" s="17"/>
      <c r="Z71" s="17"/>
      <c r="AA71" s="17"/>
      <c r="AB71" s="17"/>
      <c r="AC71" s="17"/>
      <c r="AD71" s="17"/>
      <c r="AE71" s="17"/>
      <c r="AF71" s="17"/>
      <c r="AG71" s="17"/>
      <c r="AH71" s="17"/>
      <c r="AI71" s="17"/>
      <c r="AJ71" s="17"/>
    </row>
    <row r="72" spans="1:36" ht="18" thickBot="1">
      <c r="A72" s="116" t="str">
        <f ca="1">VLOOKUP(C72,Postupy!$A$3:$C$66,3,0)</f>
        <v/>
      </c>
      <c r="B72" s="179"/>
      <c r="C72" s="108">
        <v>35</v>
      </c>
      <c r="D72" s="109" t="str">
        <f ca="1">VLOOKUP(C72,Postupy!$A$3:$B$66,2,0)</f>
        <v xml:space="preserve"> - </v>
      </c>
      <c r="E72" s="155"/>
      <c r="F72" s="195"/>
      <c r="G72" s="196"/>
      <c r="H72" s="197"/>
      <c r="I72" s="232"/>
      <c r="J72" s="190"/>
      <c r="K72" s="193"/>
      <c r="L72" s="194"/>
      <c r="M72" s="229"/>
      <c r="N72" s="181"/>
      <c r="O72" s="181"/>
      <c r="P72" s="186"/>
      <c r="Q72" s="231"/>
      <c r="R72" s="181"/>
      <c r="S72" s="181"/>
      <c r="T72" s="181"/>
      <c r="U72" s="181"/>
      <c r="V72" s="189"/>
      <c r="W72" s="50"/>
      <c r="X72" s="17"/>
      <c r="Y72" s="17"/>
      <c r="Z72" s="17"/>
      <c r="AA72" s="17"/>
      <c r="AB72" s="17"/>
      <c r="AC72" s="17"/>
      <c r="AD72" s="17"/>
      <c r="AE72" s="17"/>
      <c r="AF72" s="17"/>
      <c r="AG72" s="17"/>
      <c r="AH72" s="17"/>
      <c r="AI72" s="17"/>
      <c r="AJ72" s="17"/>
    </row>
    <row r="73" spans="1:36" ht="18.899999999999999" thickTop="1" thickBot="1">
      <c r="A73" s="116" t="str">
        <f ca="1">VLOOKUP(C73,Postupy!$A$3:$C$66,3,0)</f>
        <v>D2</v>
      </c>
      <c r="B73" s="179"/>
      <c r="C73" s="110">
        <v>30</v>
      </c>
      <c r="D73" s="111" t="str">
        <f ca="1">VLOOKUP(C73,Postupy!$A$3:$B$66,2,0)</f>
        <v>29 Carreau Brno - Grepl Jiří</v>
      </c>
      <c r="E73" s="156"/>
      <c r="F73" s="182"/>
      <c r="G73" s="181"/>
      <c r="H73" s="198"/>
      <c r="I73" s="232"/>
      <c r="J73" s="190"/>
      <c r="K73" s="184"/>
      <c r="L73" s="371" t="s">
        <v>447</v>
      </c>
      <c r="M73" s="374" t="str">
        <f ca="1">IF(OR(TRIM(L74)="-",TRIM(L75)="-"),"",VLOOKUP(MIN(K74,K75),Hřiště!$B$11:$E$42,4,0))</f>
        <v/>
      </c>
      <c r="N73" s="200"/>
      <c r="O73" s="181"/>
      <c r="P73" s="186"/>
      <c r="Q73" s="231"/>
      <c r="R73" s="181"/>
      <c r="S73" s="181"/>
      <c r="T73" s="181"/>
      <c r="U73" s="181"/>
      <c r="V73" s="181"/>
      <c r="W73" s="193"/>
      <c r="X73" s="17"/>
      <c r="Y73" s="17"/>
      <c r="Z73" s="17"/>
      <c r="AA73" s="17"/>
      <c r="AB73" s="17"/>
      <c r="AC73" s="17"/>
      <c r="AD73" s="17"/>
      <c r="AE73" s="17"/>
      <c r="AF73" s="17"/>
      <c r="AG73" s="17"/>
      <c r="AH73" s="17"/>
      <c r="AI73" s="17"/>
      <c r="AJ73" s="17"/>
    </row>
    <row r="74" spans="1:36" ht="18" thickBot="1">
      <c r="A74" s="107"/>
      <c r="B74" s="187"/>
      <c r="C74" s="187">
        <f>C72+C73</f>
        <v>65</v>
      </c>
      <c r="D74" s="188"/>
      <c r="E74" s="228"/>
      <c r="F74" s="339">
        <f>C70+C74</f>
        <v>130</v>
      </c>
      <c r="G74" s="181"/>
      <c r="H74" s="201"/>
      <c r="I74" s="231"/>
      <c r="J74" s="181"/>
      <c r="K74" s="108">
        <v>3</v>
      </c>
      <c r="L74" s="109" t="str">
        <f ca="1">IF(OR(TRIM(H70)="-",TRIM(H71)="-"), IF(TRIM(H70)="-",H71,H70),IF(AND(I70="",I71="")," ",IF(N(I70)=N(I71)," ",IF(N(I70)&gt;N(I71),H70,H71))))</f>
        <v xml:space="preserve"> </v>
      </c>
      <c r="M74" s="155"/>
      <c r="N74" s="180"/>
      <c r="O74" s="50"/>
      <c r="P74" s="194"/>
      <c r="Q74" s="229"/>
      <c r="R74" s="181"/>
      <c r="S74" s="181"/>
      <c r="T74" s="181"/>
      <c r="U74" s="181"/>
      <c r="V74" s="181"/>
      <c r="W74" s="193"/>
      <c r="X74" s="17"/>
      <c r="Y74" s="17"/>
      <c r="Z74" s="17"/>
      <c r="AA74" s="17"/>
      <c r="AB74" s="17"/>
      <c r="AC74" s="16"/>
      <c r="AD74" s="17"/>
      <c r="AE74" s="17"/>
      <c r="AF74" s="17"/>
      <c r="AG74" s="17"/>
      <c r="AH74" s="17"/>
      <c r="AI74" s="17"/>
      <c r="AJ74" s="16"/>
    </row>
    <row r="75" spans="1:36" ht="18.899999999999999" thickTop="1" thickBot="1">
      <c r="A75" s="104"/>
      <c r="B75" s="191"/>
      <c r="C75" s="192"/>
      <c r="D75" s="371" t="s">
        <v>447</v>
      </c>
      <c r="E75" s="374" t="str">
        <f ca="1">IF(OR(TRIM(D76)="-",TRIM(D77)="-"),"",VLOOKUP(MIN(C76,C77),Hřiště!$B$11:$E$42,4,0))</f>
        <v/>
      </c>
      <c r="F75" s="181"/>
      <c r="G75" s="181"/>
      <c r="H75" s="201"/>
      <c r="I75" s="231"/>
      <c r="J75" s="181"/>
      <c r="K75" s="110">
        <v>14</v>
      </c>
      <c r="L75" s="111" t="str">
        <f ca="1">IF(OR(TRIM(H78)="-",TRIM(H79)="-"), IF(TRIM(H78)="-",H79,H78),IF(AND(I78="",I79="")," ",IF(N(I78)=N(I79)," ",IF(N(I78)&gt;N(I79),H78,H79))))</f>
        <v xml:space="preserve"> </v>
      </c>
      <c r="M75" s="156"/>
      <c r="N75" s="183"/>
      <c r="O75" s="193"/>
      <c r="P75" s="194"/>
      <c r="Q75" s="229"/>
      <c r="R75" s="181"/>
      <c r="S75" s="181"/>
      <c r="T75" s="181"/>
      <c r="U75" s="181"/>
      <c r="V75" s="181"/>
      <c r="W75" s="193"/>
      <c r="X75" s="17"/>
      <c r="Y75" s="17"/>
      <c r="Z75" s="17"/>
      <c r="AA75" s="17"/>
      <c r="AB75" s="17"/>
      <c r="AC75" s="16"/>
      <c r="AD75" s="17"/>
      <c r="AE75" s="17"/>
      <c r="AF75" s="17"/>
      <c r="AG75" s="17"/>
      <c r="AH75" s="17"/>
      <c r="AI75" s="17"/>
      <c r="AJ75" s="16"/>
    </row>
    <row r="76" spans="1:36" ht="18.45" thickTop="1" thickBot="1">
      <c r="A76" s="116" t="str">
        <f ca="1">VLOOKUP(C76,Postupy!$A$3:$C$66,3,0)</f>
        <v/>
      </c>
      <c r="B76" s="179"/>
      <c r="C76" s="108">
        <v>46</v>
      </c>
      <c r="D76" s="109" t="str">
        <f ca="1">VLOOKUP(C76,Postupy!$A$3:$B$66,2,0)</f>
        <v xml:space="preserve"> - </v>
      </c>
      <c r="E76" s="155"/>
      <c r="F76" s="184"/>
      <c r="G76" s="181"/>
      <c r="H76" s="198"/>
      <c r="I76" s="232"/>
      <c r="J76" s="190"/>
      <c r="K76" s="202"/>
      <c r="L76" s="203"/>
      <c r="M76" s="233"/>
      <c r="N76" s="181"/>
      <c r="O76" s="193"/>
      <c r="P76" s="194"/>
      <c r="Q76" s="229"/>
      <c r="R76" s="181"/>
      <c r="S76" s="181"/>
      <c r="T76" s="181"/>
      <c r="U76" s="181"/>
      <c r="V76" s="181"/>
      <c r="W76" s="193"/>
      <c r="X76" s="17"/>
      <c r="Y76" s="17"/>
      <c r="Z76" s="17"/>
      <c r="AA76" s="17"/>
      <c r="AB76" s="17"/>
      <c r="AC76" s="16"/>
      <c r="AD76" s="17"/>
      <c r="AE76" s="17"/>
      <c r="AF76" s="17"/>
      <c r="AG76" s="17"/>
      <c r="AH76" s="17"/>
      <c r="AI76" s="17"/>
      <c r="AJ76" s="16"/>
    </row>
    <row r="77" spans="1:36" ht="18.899999999999999" thickTop="1" thickBot="1">
      <c r="A77" s="116" t="str">
        <f ca="1">VLOOKUP(C77,Postupy!$A$3:$C$66,3,0)</f>
        <v>M2</v>
      </c>
      <c r="B77" s="179"/>
      <c r="C77" s="110">
        <v>19</v>
      </c>
      <c r="D77" s="111" t="str">
        <f ca="1">VLOOKUP(C77,Postupy!$A$3:$B$66,2,0)</f>
        <v>13 PK Polouvsí - Valošek Radim</v>
      </c>
      <c r="E77" s="156"/>
      <c r="F77" s="204" t="s">
        <v>119</v>
      </c>
      <c r="G77" s="184"/>
      <c r="H77" s="371" t="s">
        <v>447</v>
      </c>
      <c r="I77" s="374" t="str">
        <f ca="1">IF(OR(TRIM(H78)="-",TRIM(H79)="-"),"",VLOOKUP(MIN(G78,G79),Hřiště!$B$11:$E$42,4,0))</f>
        <v/>
      </c>
      <c r="J77" s="190"/>
      <c r="K77" s="193"/>
      <c r="L77" s="201"/>
      <c r="M77" s="229"/>
      <c r="N77" s="181"/>
      <c r="O77" s="193"/>
      <c r="P77" s="194"/>
      <c r="Q77" s="229"/>
      <c r="R77" s="181"/>
      <c r="S77" s="181"/>
      <c r="T77" s="181"/>
      <c r="U77" s="181"/>
      <c r="V77" s="181"/>
      <c r="W77" s="193"/>
      <c r="X77" s="17"/>
      <c r="Y77" s="17"/>
      <c r="Z77" s="17"/>
      <c r="AA77" s="17"/>
      <c r="AB77" s="17"/>
      <c r="AC77" s="17"/>
      <c r="AD77" s="17"/>
      <c r="AE77" s="17"/>
      <c r="AF77" s="17"/>
      <c r="AG77" s="17"/>
      <c r="AH77" s="17"/>
      <c r="AI77" s="17"/>
      <c r="AJ77" s="16"/>
    </row>
    <row r="78" spans="1:36" ht="18" thickBot="1">
      <c r="A78" s="107"/>
      <c r="B78" s="187"/>
      <c r="C78" s="187">
        <f>C76+C77</f>
        <v>65</v>
      </c>
      <c r="D78" s="188"/>
      <c r="E78" s="228"/>
      <c r="F78" s="189"/>
      <c r="G78" s="108">
        <v>19</v>
      </c>
      <c r="H78" s="109" t="str">
        <f ca="1">IF(OR(TRIM(D76)="-",TRIM(D77)="-"), IF(TRIM(D76)="-",D77,D76),IF(AND(E76="",E77="")," ",IF(N(E76)=N(E77)," ",IF(N(E76)&gt;N(E77),D76,D77))))</f>
        <v>13 PK Polouvsí - Valošek Radim</v>
      </c>
      <c r="I78" s="155"/>
      <c r="J78" s="195"/>
      <c r="K78" s="193"/>
      <c r="L78" s="201"/>
      <c r="M78" s="229"/>
      <c r="N78" s="181"/>
      <c r="O78" s="193"/>
      <c r="P78" s="194"/>
      <c r="Q78" s="229"/>
      <c r="R78" s="181"/>
      <c r="S78" s="181"/>
      <c r="T78" s="181"/>
      <c r="U78" s="181"/>
      <c r="V78" s="181"/>
      <c r="W78" s="193"/>
      <c r="X78" s="17"/>
      <c r="Y78" s="17"/>
      <c r="Z78" s="17"/>
      <c r="AA78" s="17"/>
      <c r="AB78" s="17"/>
      <c r="AC78" s="17"/>
      <c r="AD78" s="17"/>
      <c r="AE78" s="17"/>
      <c r="AF78" s="17"/>
      <c r="AG78" s="17"/>
      <c r="AH78" s="17"/>
      <c r="AI78" s="17"/>
      <c r="AJ78" s="16"/>
    </row>
    <row r="79" spans="1:36" ht="18.899999999999999" thickTop="1" thickBot="1">
      <c r="A79" s="104"/>
      <c r="B79" s="191"/>
      <c r="C79" s="192"/>
      <c r="D79" s="371" t="s">
        <v>447</v>
      </c>
      <c r="E79" s="374" t="str">
        <f ca="1">IF(OR(TRIM(D80)="-",TRIM(D81)="-"),"",VLOOKUP(MIN(C80,C81),Hřiště!$B$11:$E$42,4,0))</f>
        <v/>
      </c>
      <c r="F79" s="200"/>
      <c r="G79" s="110">
        <v>14</v>
      </c>
      <c r="H79" s="111" t="str">
        <f ca="1">IF(OR(TRIM(D80)="-",TRIM(D81)="-"), IF(TRIM(D80)="-",D81,D80),IF(AND(E80="",E81="")," ",IF(N(E80)=N(E81)," ",IF(N(E80)&gt;N(E81),D80,D81))))</f>
        <v>51 UBU Únětice - Fuksa Petr</v>
      </c>
      <c r="I79" s="156"/>
      <c r="J79" s="182"/>
      <c r="K79" s="181"/>
      <c r="L79" s="201"/>
      <c r="M79" s="231"/>
      <c r="N79" s="181"/>
      <c r="O79" s="193"/>
      <c r="P79" s="194"/>
      <c r="Q79" s="229"/>
      <c r="R79" s="181"/>
      <c r="S79" s="181"/>
      <c r="T79" s="181"/>
      <c r="U79" s="181"/>
      <c r="V79" s="181"/>
      <c r="W79" s="193"/>
      <c r="X79" s="17"/>
      <c r="Y79" s="17"/>
      <c r="Z79" s="17"/>
      <c r="AA79" s="17"/>
      <c r="AB79" s="17"/>
      <c r="AC79" s="17"/>
      <c r="AD79" s="17"/>
      <c r="AE79" s="17"/>
      <c r="AF79" s="17"/>
      <c r="AG79" s="17"/>
      <c r="AH79" s="17"/>
      <c r="AI79" s="17"/>
      <c r="AJ79" s="17"/>
    </row>
    <row r="80" spans="1:36" ht="18.45" thickTop="1" thickBot="1">
      <c r="A80" s="116" t="str">
        <f ca="1">VLOOKUP(C80,Postupy!$A$3:$C$66,3,0)</f>
        <v/>
      </c>
      <c r="B80" s="179"/>
      <c r="C80" s="108">
        <v>51</v>
      </c>
      <c r="D80" s="109" t="str">
        <f ca="1">VLOOKUP(C80,Postupy!$A$3:$B$66,2,0)</f>
        <v xml:space="preserve"> - </v>
      </c>
      <c r="E80" s="155"/>
      <c r="F80" s="205"/>
      <c r="G80" s="202"/>
      <c r="H80" s="203"/>
      <c r="I80" s="233"/>
      <c r="J80" s="181"/>
      <c r="K80" s="181"/>
      <c r="L80" s="198"/>
      <c r="M80" s="231"/>
      <c r="N80" s="181"/>
      <c r="O80" s="193"/>
      <c r="P80" s="194"/>
      <c r="Q80" s="229"/>
      <c r="R80" s="181"/>
      <c r="S80" s="181"/>
      <c r="T80" s="181"/>
      <c r="U80" s="181"/>
      <c r="V80" s="181"/>
      <c r="W80" s="193"/>
      <c r="X80" s="17"/>
      <c r="Y80" s="18"/>
      <c r="Z80" s="17"/>
      <c r="AA80" s="17"/>
      <c r="AB80" s="17"/>
      <c r="AC80" s="18"/>
      <c r="AD80" s="17"/>
      <c r="AE80" s="17"/>
      <c r="AF80" s="17"/>
      <c r="AG80" s="17"/>
      <c r="AH80" s="17"/>
      <c r="AI80" s="17"/>
      <c r="AJ80" s="17"/>
    </row>
    <row r="81" spans="1:36" ht="18.899999999999999" thickTop="1" thickBot="1">
      <c r="A81" s="116" t="str">
        <f ca="1">VLOOKUP(C81,Postupy!$A$3:$C$66,3,0)</f>
        <v>N1</v>
      </c>
      <c r="B81" s="179"/>
      <c r="C81" s="110">
        <v>14</v>
      </c>
      <c r="D81" s="111" t="str">
        <f ca="1">VLOOKUP(C81,Postupy!$A$3:$B$66,2,0)</f>
        <v>51 UBU Únětice - Fuksa Petr</v>
      </c>
      <c r="E81" s="156"/>
      <c r="F81" s="206"/>
      <c r="G81" s="181"/>
      <c r="H81" s="198"/>
      <c r="I81" s="231"/>
      <c r="J81" s="181"/>
      <c r="K81" s="181"/>
      <c r="L81" s="207"/>
      <c r="M81" s="232"/>
      <c r="N81" s="190"/>
      <c r="O81" s="184"/>
      <c r="P81" s="371" t="s">
        <v>447</v>
      </c>
      <c r="Q81" s="374" t="str">
        <f ca="1">IF(OR(TRIM(P82)="-",TRIM(P83)="-"),"",VLOOKUP(MIN(O82,O83),Hřiště!$B$11:$E$42,4,0))</f>
        <v/>
      </c>
      <c r="S81" s="200"/>
      <c r="T81" s="200"/>
      <c r="U81" s="200"/>
      <c r="V81" s="181"/>
      <c r="W81" s="193"/>
      <c r="X81" s="17"/>
      <c r="Y81" s="17"/>
      <c r="Z81" s="17"/>
      <c r="AA81" s="17"/>
      <c r="AB81" s="17"/>
      <c r="AC81" s="17"/>
      <c r="AD81" s="17"/>
      <c r="AE81" s="17"/>
      <c r="AF81" s="17"/>
      <c r="AG81" s="17"/>
      <c r="AH81" s="17"/>
      <c r="AI81" s="17"/>
      <c r="AJ81" s="17"/>
    </row>
    <row r="82" spans="1:36" ht="18" thickBot="1">
      <c r="A82" s="107"/>
      <c r="B82" s="187"/>
      <c r="C82" s="187">
        <f>C80+C81</f>
        <v>65</v>
      </c>
      <c r="D82" s="188"/>
      <c r="E82" s="228"/>
      <c r="F82" s="339">
        <f>C78+C82</f>
        <v>130</v>
      </c>
      <c r="G82" s="181"/>
      <c r="H82" s="201"/>
      <c r="I82" s="231"/>
      <c r="J82" s="181"/>
      <c r="K82" s="181"/>
      <c r="L82" s="208"/>
      <c r="M82" s="232"/>
      <c r="N82" s="190"/>
      <c r="O82" s="108">
        <v>3</v>
      </c>
      <c r="P82" s="109" t="str">
        <f ca="1">IF(OR(TRIM(L74)="-",TRIM(L75)="-"), IF(TRIM(L74)="-",L75,L74),IF(AND(M74="",M75="")," ",IF(N(M74)=N(M75)," ",IF(N(M74)&gt;N(M75),L74,L75))))</f>
        <v xml:space="preserve"> </v>
      </c>
      <c r="Q82" s="155"/>
      <c r="R82" s="190"/>
      <c r="S82" s="181"/>
      <c r="T82" s="181"/>
      <c r="U82" s="181"/>
      <c r="V82" s="181"/>
      <c r="W82" s="193"/>
      <c r="X82" s="17"/>
      <c r="Y82" s="17"/>
      <c r="Z82" s="17"/>
      <c r="AA82" s="17"/>
      <c r="AB82" s="17"/>
      <c r="AC82" s="17"/>
      <c r="AD82" s="17"/>
      <c r="AE82" s="17"/>
      <c r="AF82" s="17"/>
      <c r="AG82" s="17"/>
      <c r="AH82" s="17"/>
      <c r="AI82" s="17"/>
      <c r="AJ82" s="17"/>
    </row>
    <row r="83" spans="1:36" ht="18.899999999999999" thickTop="1" thickBot="1">
      <c r="A83" s="104"/>
      <c r="B83" s="191"/>
      <c r="C83" s="192"/>
      <c r="D83" s="371" t="s">
        <v>447</v>
      </c>
      <c r="E83" s="374" t="str">
        <f ca="1">IF(OR(TRIM(D84)="-",TRIM(D85)="-"),"",VLOOKUP(MIN(C84,C85),Hřiště!$B$11:$E$42,4,0))</f>
        <v/>
      </c>
      <c r="F83" s="181"/>
      <c r="G83" s="181"/>
      <c r="H83" s="201"/>
      <c r="I83" s="231"/>
      <c r="J83" s="181"/>
      <c r="K83" s="181"/>
      <c r="L83" s="208"/>
      <c r="M83" s="232"/>
      <c r="N83" s="189"/>
      <c r="O83" s="110">
        <v>6</v>
      </c>
      <c r="P83" s="111" t="str">
        <f ca="1">IF(OR(TRIM(L90)="-",TRIM(L91)="-"),IF(TRIM(L90)="-",L91,L90),IF(AND(M90="",M91="")," ",IF(N(M90)=N(M91)," ",IF(N(M90)&gt;N(M91),L90,L91))))</f>
        <v xml:space="preserve"> </v>
      </c>
      <c r="Q83" s="156"/>
      <c r="R83" s="183"/>
      <c r="S83" s="209"/>
      <c r="T83" s="181"/>
      <c r="U83" s="181"/>
      <c r="V83" s="181"/>
      <c r="W83" s="193"/>
      <c r="X83" s="17"/>
      <c r="Y83" s="17"/>
      <c r="Z83" s="17"/>
      <c r="AA83" s="17"/>
      <c r="AB83" s="17"/>
      <c r="AC83" s="17"/>
      <c r="AD83" s="17"/>
      <c r="AE83" s="17"/>
      <c r="AF83" s="17"/>
      <c r="AG83" s="17"/>
      <c r="AH83" s="17"/>
      <c r="AI83" s="17"/>
      <c r="AJ83" s="17"/>
    </row>
    <row r="84" spans="1:36" ht="18.45" thickTop="1" thickBot="1">
      <c r="A84" s="116" t="str">
        <f ca="1">VLOOKUP(C84,Postupy!$A$3:$C$66,3,0)</f>
        <v>K1</v>
      </c>
      <c r="B84" s="179"/>
      <c r="C84" s="108">
        <v>11</v>
      </c>
      <c r="D84" s="109" t="str">
        <f ca="1">VLOOKUP(C84,Postupy!$A$3:$B$66,2,0)</f>
        <v>11 PC Damníkov - Brandes Michael</v>
      </c>
      <c r="E84" s="155"/>
      <c r="F84" s="184"/>
      <c r="G84" s="181"/>
      <c r="H84" s="198"/>
      <c r="I84" s="231"/>
      <c r="J84" s="181"/>
      <c r="K84" s="181"/>
      <c r="L84" s="208"/>
      <c r="M84" s="232"/>
      <c r="N84" s="189"/>
      <c r="O84" s="202"/>
      <c r="P84" s="203"/>
      <c r="Q84" s="229"/>
      <c r="R84" s="190"/>
      <c r="S84" s="209"/>
      <c r="T84" s="185"/>
      <c r="U84" s="190"/>
      <c r="V84" s="181"/>
      <c r="W84" s="193"/>
      <c r="X84" s="17"/>
      <c r="Y84" s="17"/>
      <c r="Z84" s="17"/>
      <c r="AA84" s="17"/>
      <c r="AB84" s="17"/>
      <c r="AC84" s="16"/>
      <c r="AD84" s="17"/>
      <c r="AE84" s="17"/>
      <c r="AF84" s="17"/>
      <c r="AG84" s="17"/>
      <c r="AH84" s="17"/>
      <c r="AI84" s="16"/>
      <c r="AJ84" s="17"/>
    </row>
    <row r="85" spans="1:36" ht="18.899999999999999" thickTop="1" thickBot="1">
      <c r="A85" s="116" t="str">
        <f ca="1">VLOOKUP(C85,Postupy!$A$3:$C$66,3,0)</f>
        <v/>
      </c>
      <c r="B85" s="179"/>
      <c r="C85" s="110">
        <v>54</v>
      </c>
      <c r="D85" s="111" t="str">
        <f ca="1">VLOOKUP(C85,Postupy!$A$3:$B$66,2,0)</f>
        <v xml:space="preserve"> - </v>
      </c>
      <c r="E85" s="156"/>
      <c r="F85" s="210"/>
      <c r="G85" s="184"/>
      <c r="H85" s="371" t="s">
        <v>447</v>
      </c>
      <c r="I85" s="374" t="str">
        <f ca="1">IF(OR(TRIM(H86)="-",TRIM(H87)="-"),"",VLOOKUP(MIN(G86,G87),Hřiště!$B$11:$E$42,4,0))</f>
        <v/>
      </c>
      <c r="J85" s="181"/>
      <c r="K85" s="181"/>
      <c r="L85" s="208"/>
      <c r="M85" s="232"/>
      <c r="N85" s="189"/>
      <c r="O85" s="50"/>
      <c r="P85" s="201"/>
      <c r="Q85" s="232"/>
      <c r="R85" s="190"/>
      <c r="S85" s="209"/>
      <c r="T85" s="185"/>
      <c r="U85" s="190"/>
      <c r="V85" s="181"/>
      <c r="W85" s="193"/>
      <c r="X85" s="17"/>
      <c r="Y85" s="17"/>
      <c r="Z85" s="17"/>
      <c r="AA85" s="17"/>
      <c r="AB85" s="17"/>
      <c r="AC85" s="16"/>
      <c r="AD85" s="17"/>
      <c r="AE85" s="17"/>
      <c r="AF85" s="17"/>
      <c r="AG85" s="17"/>
      <c r="AH85" s="17"/>
      <c r="AI85" s="16"/>
      <c r="AJ85" s="17"/>
    </row>
    <row r="86" spans="1:36" ht="18.45" thickTop="1" thickBot="1">
      <c r="A86" s="107"/>
      <c r="B86" s="187"/>
      <c r="C86" s="187">
        <f>C84+C85</f>
        <v>65</v>
      </c>
      <c r="D86" s="188"/>
      <c r="E86" s="228"/>
      <c r="F86" s="189"/>
      <c r="G86" s="108">
        <v>11</v>
      </c>
      <c r="H86" s="109" t="str">
        <f ca="1">IF(OR(TRIM(D84)="-",TRIM(D85)="-"), IF(TRIM(D84)="-",D85,D84),IF(AND(E84="",E85="")," ",IF(N(E84)=N(E85)," ",IF(N(E84)&gt;N(E85),D84,D85))))</f>
        <v>11 PC Damníkov - Brandes Michael</v>
      </c>
      <c r="I86" s="155"/>
      <c r="J86" s="180"/>
      <c r="K86" s="181"/>
      <c r="L86" s="208"/>
      <c r="M86" s="232"/>
      <c r="N86" s="189"/>
      <c r="O86" s="50"/>
      <c r="P86" s="201"/>
      <c r="Q86" s="232"/>
      <c r="R86" s="190"/>
      <c r="S86" s="209"/>
      <c r="T86" s="185"/>
      <c r="U86" s="190"/>
      <c r="V86" s="181"/>
      <c r="W86" s="193"/>
      <c r="X86" s="17"/>
      <c r="Y86" s="17"/>
      <c r="Z86" s="17"/>
      <c r="AA86" s="17"/>
      <c r="AB86" s="17"/>
      <c r="AC86" s="16"/>
      <c r="AD86" s="17"/>
      <c r="AE86" s="17"/>
      <c r="AF86" s="17"/>
      <c r="AG86" s="17"/>
      <c r="AH86" s="17"/>
      <c r="AI86" s="16"/>
      <c r="AJ86" s="17"/>
    </row>
    <row r="87" spans="1:36" ht="18.899999999999999" thickTop="1" thickBot="1">
      <c r="A87" s="104"/>
      <c r="B87" s="191"/>
      <c r="C87" s="192"/>
      <c r="D87" s="371" t="s">
        <v>447</v>
      </c>
      <c r="E87" s="374" t="str">
        <f ca="1">IF(OR(TRIM(D88)="-",TRIM(D89)="-"),"",VLOOKUP(MIN(C88,C89),Hřiště!$B$11:$E$42,4,0))</f>
        <v/>
      </c>
      <c r="F87" s="189"/>
      <c r="G87" s="110">
        <v>22</v>
      </c>
      <c r="H87" s="111" t="str">
        <f ca="1">IF(OR(TRIM(D88)="-",TRIM(D89)="-"), IF(TRIM(D88)="-",D89,D88),IF(AND(E88="",E89="")," ",IF(N(E88)=N(E89)," ",IF(N(E88)&gt;N(E89),D88,D89))))</f>
        <v>21 Carreau Brno - Ferlay Franck</v>
      </c>
      <c r="I87" s="156"/>
      <c r="J87" s="183"/>
      <c r="K87" s="193"/>
      <c r="L87" s="211"/>
      <c r="M87" s="232"/>
      <c r="N87" s="189"/>
      <c r="O87" s="50"/>
      <c r="P87" s="198"/>
      <c r="Q87" s="232"/>
      <c r="R87" s="190"/>
      <c r="S87" s="209"/>
      <c r="T87" s="185"/>
      <c r="U87" s="190"/>
      <c r="V87" s="181"/>
      <c r="W87" s="193"/>
      <c r="X87" s="17"/>
      <c r="Y87" s="17"/>
      <c r="Z87" s="17"/>
      <c r="AA87" s="17"/>
      <c r="AB87" s="17"/>
      <c r="AC87" s="17"/>
      <c r="AD87" s="17"/>
      <c r="AE87" s="17"/>
      <c r="AF87" s="17"/>
      <c r="AG87" s="17"/>
      <c r="AH87" s="17"/>
      <c r="AI87" s="17"/>
      <c r="AJ87" s="17"/>
    </row>
    <row r="88" spans="1:36" ht="18.45" thickTop="1" thickBot="1">
      <c r="A88" s="116" t="str">
        <f ca="1">VLOOKUP(C88,Postupy!$A$3:$C$66,3,0)</f>
        <v/>
      </c>
      <c r="B88" s="179"/>
      <c r="C88" s="108">
        <v>43</v>
      </c>
      <c r="D88" s="109" t="str">
        <f ca="1">VLOOKUP(C88,Postupy!$A$3:$B$66,2,0)</f>
        <v xml:space="preserve"> - </v>
      </c>
      <c r="E88" s="155"/>
      <c r="F88" s="195"/>
      <c r="G88" s="196"/>
      <c r="H88" s="203"/>
      <c r="I88" s="234"/>
      <c r="J88" s="190"/>
      <c r="K88" s="193"/>
      <c r="L88" s="212"/>
      <c r="M88" s="232"/>
      <c r="N88" s="189"/>
      <c r="O88" s="50"/>
      <c r="P88" s="207"/>
      <c r="Q88" s="232"/>
      <c r="R88" s="190"/>
      <c r="S88" s="209"/>
      <c r="T88" s="185"/>
      <c r="U88" s="190"/>
      <c r="V88" s="181"/>
      <c r="W88" s="193"/>
      <c r="X88" s="17"/>
      <c r="Y88" s="17"/>
      <c r="Z88" s="17"/>
      <c r="AA88" s="17"/>
      <c r="AB88" s="17"/>
      <c r="AC88" s="17"/>
      <c r="AD88" s="17"/>
      <c r="AE88" s="17"/>
      <c r="AF88" s="17"/>
      <c r="AG88" s="17"/>
      <c r="AH88" s="17"/>
      <c r="AI88" s="17"/>
      <c r="AJ88" s="17"/>
    </row>
    <row r="89" spans="1:36" ht="18.899999999999999" thickTop="1" thickBot="1">
      <c r="A89" s="116" t="str">
        <f ca="1">VLOOKUP(C89,Postupy!$A$3:$C$66,3,0)</f>
        <v>L2</v>
      </c>
      <c r="B89" s="179"/>
      <c r="C89" s="110">
        <v>22</v>
      </c>
      <c r="D89" s="111" t="str">
        <f ca="1">VLOOKUP(C89,Postupy!$A$3:$B$66,2,0)</f>
        <v>21 Carreau Brno - Ferlay Franck</v>
      </c>
      <c r="E89" s="156"/>
      <c r="F89" s="182"/>
      <c r="G89" s="181"/>
      <c r="H89" s="198"/>
      <c r="I89" s="232"/>
      <c r="J89" s="190"/>
      <c r="K89" s="184"/>
      <c r="L89" s="371" t="s">
        <v>447</v>
      </c>
      <c r="M89" s="374" t="str">
        <f ca="1">IF(OR(TRIM(L90)="-",TRIM(L91)="-"),"",VLOOKUP(MIN(K90,K91),Hřiště!$B$11:$E$42,4,0))</f>
        <v/>
      </c>
      <c r="N89" s="213"/>
      <c r="O89" s="50"/>
      <c r="P89" s="211"/>
      <c r="Q89" s="232"/>
      <c r="R89" s="190"/>
      <c r="S89" s="209"/>
      <c r="T89" s="185"/>
      <c r="U89" s="190"/>
      <c r="V89" s="181"/>
      <c r="W89" s="193"/>
      <c r="X89" s="17"/>
      <c r="Y89" s="17"/>
      <c r="Z89" s="17"/>
      <c r="AA89" s="17"/>
      <c r="AB89" s="17"/>
      <c r="AC89" s="17"/>
      <c r="AD89" s="17"/>
      <c r="AE89" s="17"/>
      <c r="AF89" s="17"/>
      <c r="AG89" s="17"/>
      <c r="AH89" s="17"/>
      <c r="AI89" s="17"/>
      <c r="AJ89" s="17"/>
    </row>
    <row r="90" spans="1:36" ht="18.45" thickTop="1" thickBot="1">
      <c r="A90" s="107"/>
      <c r="B90" s="187"/>
      <c r="C90" s="187">
        <f>C88+C89</f>
        <v>65</v>
      </c>
      <c r="D90" s="188"/>
      <c r="E90" s="228"/>
      <c r="F90" s="339">
        <f>C86+C90</f>
        <v>130</v>
      </c>
      <c r="G90" s="181"/>
      <c r="H90" s="201"/>
      <c r="I90" s="231"/>
      <c r="J90" s="181"/>
      <c r="K90" s="108">
        <v>11</v>
      </c>
      <c r="L90" s="109" t="str">
        <f ca="1">IF(OR(TRIM(H86)="-",TRIM(H87)="-"), IF(TRIM(H86)="-",H87,H86),IF(AND(I86="",I87="")," ",IF(N(I86)=N(I87)," ",IF(N(I86)&gt;N(I87),H86,H87))))</f>
        <v xml:space="preserve"> </v>
      </c>
      <c r="M90" s="155"/>
      <c r="N90" s="195"/>
      <c r="O90" s="181"/>
      <c r="P90" s="208"/>
      <c r="Q90" s="232"/>
      <c r="R90" s="190"/>
      <c r="S90" s="209"/>
      <c r="T90" s="185"/>
      <c r="U90" s="181"/>
      <c r="V90" s="181"/>
      <c r="W90" s="193"/>
      <c r="X90" s="17"/>
      <c r="Y90" s="18"/>
      <c r="Z90" s="17"/>
      <c r="AA90" s="17"/>
      <c r="AB90" s="17"/>
      <c r="AC90" s="18"/>
      <c r="AD90" s="17"/>
      <c r="AE90" s="17"/>
      <c r="AF90" s="17"/>
      <c r="AG90" s="17"/>
      <c r="AH90" s="17"/>
      <c r="AI90" s="18"/>
      <c r="AJ90" s="17"/>
    </row>
    <row r="91" spans="1:36" ht="18.899999999999999" thickTop="1" thickBot="1">
      <c r="A91" s="104"/>
      <c r="B91" s="191"/>
      <c r="C91" s="192"/>
      <c r="D91" s="371" t="s">
        <v>447</v>
      </c>
      <c r="E91" s="374" t="str">
        <f ca="1">IF(OR(TRIM(D92)="-",TRIM(D93)="-"),"",VLOOKUP(MIN(C92,C93),Hřiště!$B$11:$E$42,4,0))</f>
        <v/>
      </c>
      <c r="F91" s="181"/>
      <c r="G91" s="181"/>
      <c r="H91" s="201"/>
      <c r="I91" s="231"/>
      <c r="J91" s="181"/>
      <c r="K91" s="110">
        <v>6</v>
      </c>
      <c r="L91" s="111" t="str">
        <f ca="1">IF(OR(TRIM(H94)="-",TRIM(H95)="-"), IF(TRIM(H94)="-",H95,H94),IF(AND(I94="",I95="")," ",IF(N(I94)=N(I95)," ",IF(N(I94)&gt;N(I95),H94,H95))))</f>
        <v xml:space="preserve"> </v>
      </c>
      <c r="M91" s="156"/>
      <c r="N91" s="182"/>
      <c r="O91" s="181"/>
      <c r="P91" s="208"/>
      <c r="Q91" s="232"/>
      <c r="R91" s="190"/>
      <c r="S91" s="209"/>
      <c r="T91" s="185"/>
      <c r="U91" s="181"/>
      <c r="V91" s="181"/>
      <c r="W91" s="193"/>
      <c r="X91" s="17"/>
      <c r="Y91" s="18"/>
      <c r="Z91" s="17"/>
      <c r="AA91" s="17"/>
      <c r="AB91" s="17"/>
      <c r="AC91" s="18"/>
      <c r="AD91" s="17"/>
      <c r="AE91" s="17"/>
      <c r="AF91" s="17"/>
      <c r="AG91" s="17"/>
      <c r="AH91" s="17"/>
      <c r="AI91" s="18"/>
      <c r="AJ91" s="17"/>
    </row>
    <row r="92" spans="1:36" ht="18.45" thickTop="1" thickBot="1">
      <c r="A92" s="116" t="str">
        <f ca="1">VLOOKUP(C92,Postupy!$A$3:$C$66,3,0)</f>
        <v>E2</v>
      </c>
      <c r="B92" s="179"/>
      <c r="C92" s="108">
        <v>27</v>
      </c>
      <c r="D92" s="109" t="str">
        <f ca="1">VLOOKUP(C92,Postupy!$A$3:$B$66,2,0)</f>
        <v>37 PC Sokol Lipník - Šplechtová Dana</v>
      </c>
      <c r="E92" s="155"/>
      <c r="F92" s="184"/>
      <c r="G92" s="181"/>
      <c r="H92" s="198"/>
      <c r="I92" s="231"/>
      <c r="J92" s="190"/>
      <c r="K92" s="202"/>
      <c r="L92" s="203"/>
      <c r="M92" s="233"/>
      <c r="N92" s="181"/>
      <c r="O92" s="181"/>
      <c r="P92" s="208"/>
      <c r="Q92" s="232"/>
      <c r="R92" s="190"/>
      <c r="S92" s="209"/>
      <c r="T92" s="199"/>
      <c r="U92" s="190"/>
      <c r="V92" s="181"/>
      <c r="W92" s="193"/>
      <c r="X92" s="17"/>
      <c r="Y92" s="17"/>
      <c r="Z92" s="17"/>
      <c r="AA92" s="17"/>
      <c r="AB92" s="17"/>
      <c r="AC92" s="17"/>
      <c r="AD92" s="17"/>
      <c r="AE92" s="17"/>
      <c r="AF92" s="17"/>
      <c r="AG92" s="17"/>
      <c r="AH92" s="17"/>
      <c r="AI92" s="17"/>
      <c r="AJ92" s="17"/>
    </row>
    <row r="93" spans="1:36" ht="18.899999999999999" thickTop="1" thickBot="1">
      <c r="A93" s="116" t="str">
        <f ca="1">VLOOKUP(C93,Postupy!$A$3:$C$66,3,0)</f>
        <v/>
      </c>
      <c r="B93" s="179"/>
      <c r="C93" s="110">
        <v>38</v>
      </c>
      <c r="D93" s="111" t="str">
        <f ca="1">VLOOKUP(C93,Postupy!$A$3:$B$66,2,0)</f>
        <v xml:space="preserve"> - </v>
      </c>
      <c r="E93" s="156"/>
      <c r="F93" s="204" t="s">
        <v>119</v>
      </c>
      <c r="G93" s="184"/>
      <c r="H93" s="371" t="s">
        <v>447</v>
      </c>
      <c r="I93" s="374" t="str">
        <f ca="1">IF(OR(TRIM(H94)="-",TRIM(H95)="-"),"",VLOOKUP(MIN(G94,G95),Hřiště!$B$11:$E$42,4,0))</f>
        <v/>
      </c>
      <c r="J93" s="190"/>
      <c r="K93" s="193"/>
      <c r="L93" s="201"/>
      <c r="M93" s="229"/>
      <c r="N93" s="181"/>
      <c r="O93" s="181"/>
      <c r="P93" s="208"/>
      <c r="Q93" s="232"/>
      <c r="R93" s="190"/>
      <c r="S93" s="209"/>
      <c r="T93" s="199"/>
      <c r="U93" s="190"/>
      <c r="V93" s="181"/>
      <c r="W93" s="193"/>
      <c r="X93" s="35"/>
      <c r="Y93" s="17"/>
      <c r="Z93" s="17"/>
      <c r="AA93" s="17"/>
      <c r="AB93" s="17"/>
      <c r="AC93" s="17"/>
      <c r="AD93" s="17"/>
      <c r="AE93" s="17"/>
      <c r="AF93" s="17"/>
      <c r="AG93" s="17"/>
      <c r="AH93" s="17"/>
      <c r="AI93" s="17"/>
      <c r="AJ93" s="17"/>
    </row>
    <row r="94" spans="1:36" ht="18.45" thickTop="1" thickBot="1">
      <c r="A94" s="107"/>
      <c r="B94" s="187"/>
      <c r="C94" s="187">
        <f>C92+C93</f>
        <v>65</v>
      </c>
      <c r="D94" s="188"/>
      <c r="E94" s="228"/>
      <c r="F94" s="23"/>
      <c r="G94" s="108">
        <v>27</v>
      </c>
      <c r="H94" s="109" t="str">
        <f ca="1">IF(OR(TRIM(D92)="-",TRIM(D93)="-"), IF(TRIM(D92)="-",D93,D92),IF(AND(E92="",E93="")," ",IF(N(E92)=N(E93)," ",IF(N(E92)&gt;N(E93),D92,D93))))</f>
        <v>37 PC Sokol Lipník - Šplechtová Dana</v>
      </c>
      <c r="I94" s="155"/>
      <c r="J94" s="195"/>
      <c r="K94" s="193"/>
      <c r="L94" s="201"/>
      <c r="M94" s="229"/>
      <c r="N94" s="181"/>
      <c r="O94" s="181"/>
      <c r="P94" s="208"/>
      <c r="Q94" s="232"/>
      <c r="R94" s="190"/>
      <c r="S94" s="209"/>
      <c r="T94" s="199"/>
      <c r="U94" s="190"/>
      <c r="V94" s="181"/>
      <c r="W94" s="193"/>
      <c r="X94" s="35"/>
      <c r="Y94" s="17"/>
      <c r="Z94" s="17"/>
      <c r="AA94" s="17"/>
      <c r="AB94" s="17"/>
      <c r="AC94" s="17"/>
      <c r="AD94" s="17"/>
      <c r="AE94" s="17"/>
      <c r="AF94" s="17"/>
      <c r="AG94" s="17"/>
      <c r="AH94" s="17"/>
      <c r="AI94" s="17"/>
      <c r="AJ94" s="17"/>
    </row>
    <row r="95" spans="1:36" ht="18.899999999999999" thickTop="1" thickBot="1">
      <c r="A95" s="104"/>
      <c r="B95" s="191"/>
      <c r="C95" s="192"/>
      <c r="D95" s="371" t="s">
        <v>447</v>
      </c>
      <c r="E95" s="374" t="str">
        <f ca="1">IF(OR(TRIM(D96)="-",TRIM(D97)="-"),"",VLOOKUP(MIN(C96,C97),Hřiště!$B$11:$E$42,4,0))</f>
        <v/>
      </c>
      <c r="F95" s="200"/>
      <c r="G95" s="110">
        <v>6</v>
      </c>
      <c r="H95" s="111" t="str">
        <f ca="1">IF(OR(TRIM(D96)="-",TRIM(D97)="-"), IF(TRIM(D96)="-",D97,D96),IF(AND(E96="",E97="")," ",IF(N(E96)=N(E97)," ",IF(N(E96)&gt;N(E97),D96,D97))))</f>
        <v>6 CdP Loděnice - Dlouhá Ivana</v>
      </c>
      <c r="I95" s="156"/>
      <c r="J95" s="182"/>
      <c r="K95" s="181"/>
      <c r="L95" s="201"/>
      <c r="M95" s="231"/>
      <c r="N95" s="181"/>
      <c r="O95" s="181"/>
      <c r="P95" s="208"/>
      <c r="Q95" s="232"/>
      <c r="R95" s="190"/>
      <c r="S95" s="209"/>
      <c r="T95" s="199"/>
      <c r="U95" s="190"/>
      <c r="V95" s="181"/>
      <c r="W95" s="193"/>
      <c r="X95" s="35"/>
      <c r="Y95" s="17"/>
      <c r="Z95" s="17"/>
      <c r="AA95" s="17"/>
      <c r="AB95" s="17"/>
      <c r="AC95" s="17"/>
      <c r="AD95" s="17"/>
      <c r="AE95" s="17"/>
      <c r="AF95" s="17"/>
      <c r="AG95" s="17"/>
      <c r="AH95" s="17"/>
      <c r="AI95" s="17"/>
      <c r="AJ95" s="17"/>
    </row>
    <row r="96" spans="1:36" ht="18.45" thickTop="1" thickBot="1">
      <c r="A96" s="116" t="str">
        <f ca="1">VLOOKUP(C96,Postupy!$A$3:$C$66,3,0)</f>
        <v/>
      </c>
      <c r="B96" s="179"/>
      <c r="C96" s="108">
        <v>59</v>
      </c>
      <c r="D96" s="109" t="str">
        <f ca="1">VLOOKUP(C96,Postupy!$A$3:$B$66,2,0)</f>
        <v xml:space="preserve"> - </v>
      </c>
      <c r="E96" s="155"/>
      <c r="F96" s="205"/>
      <c r="G96" s="202"/>
      <c r="H96" s="203"/>
      <c r="I96" s="233"/>
      <c r="J96" s="181"/>
      <c r="K96" s="181"/>
      <c r="L96" s="198"/>
      <c r="M96" s="231"/>
      <c r="N96" s="181"/>
      <c r="O96" s="181"/>
      <c r="P96" s="208"/>
      <c r="Q96" s="232"/>
      <c r="R96" s="190"/>
      <c r="S96" s="209"/>
      <c r="T96" s="199"/>
      <c r="U96" s="190"/>
      <c r="V96" s="181"/>
      <c r="W96" s="193"/>
      <c r="X96" s="35"/>
      <c r="Y96" s="17"/>
      <c r="Z96" s="17"/>
      <c r="AA96" s="17"/>
      <c r="AB96" s="17"/>
      <c r="AC96" s="17"/>
      <c r="AD96" s="17"/>
      <c r="AE96" s="17"/>
      <c r="AF96" s="17"/>
      <c r="AG96" s="17"/>
      <c r="AH96" s="17"/>
      <c r="AI96" s="17"/>
      <c r="AJ96" s="17"/>
    </row>
    <row r="97" spans="1:36" ht="18.899999999999999" thickTop="1" thickBot="1">
      <c r="A97" s="116" t="str">
        <f ca="1">VLOOKUP(C97,Postupy!$A$3:$C$66,3,0)</f>
        <v>F1</v>
      </c>
      <c r="B97" s="179"/>
      <c r="C97" s="110">
        <v>6</v>
      </c>
      <c r="D97" s="111" t="str">
        <f ca="1">VLOOKUP(C97,Postupy!$A$3:$B$66,2,0)</f>
        <v>6 CdP Loděnice - Dlouhá Ivana</v>
      </c>
      <c r="E97" s="156"/>
      <c r="F97" s="206"/>
      <c r="G97" s="181"/>
      <c r="H97" s="198"/>
      <c r="I97" s="231"/>
      <c r="J97" s="181"/>
      <c r="K97" s="181"/>
      <c r="L97" s="207"/>
      <c r="M97" s="231"/>
      <c r="N97" s="181"/>
      <c r="O97" s="181"/>
      <c r="P97" s="208"/>
      <c r="Q97" s="232"/>
      <c r="R97" s="190"/>
      <c r="S97" s="184"/>
      <c r="T97" s="371" t="s">
        <v>447</v>
      </c>
      <c r="U97" s="374" t="str">
        <f ca="1">IF(OR(TRIM(T98)="-",TRIM(T99)="-"),"",VLOOKUP(MIN(S98,S99),Hřiště!$B$11:$E$42,4,0))</f>
        <v/>
      </c>
      <c r="V97" s="181"/>
      <c r="W97" s="193"/>
      <c r="X97" s="17"/>
      <c r="Y97" s="17"/>
      <c r="Z97" s="17"/>
      <c r="AA97" s="17"/>
      <c r="AB97" s="17"/>
      <c r="AC97" s="17"/>
      <c r="AD97" s="17"/>
      <c r="AE97" s="17"/>
      <c r="AF97" s="17"/>
      <c r="AG97" s="17"/>
      <c r="AH97" s="17"/>
      <c r="AI97" s="17"/>
      <c r="AJ97" s="17"/>
    </row>
    <row r="98" spans="1:36" ht="18.45" thickTop="1" thickBot="1">
      <c r="A98" s="107"/>
      <c r="B98" s="187"/>
      <c r="C98" s="187">
        <f>C96+C97</f>
        <v>65</v>
      </c>
      <c r="D98" s="188"/>
      <c r="E98" s="228"/>
      <c r="F98" s="339">
        <f>C94+C98</f>
        <v>130</v>
      </c>
      <c r="G98" s="181"/>
      <c r="H98" s="201"/>
      <c r="I98" s="231"/>
      <c r="J98" s="181"/>
      <c r="K98" s="181"/>
      <c r="L98" s="214"/>
      <c r="M98" s="231"/>
      <c r="N98" s="181"/>
      <c r="O98" s="181"/>
      <c r="P98" s="214"/>
      <c r="Q98" s="231"/>
      <c r="R98" s="181"/>
      <c r="S98" s="39">
        <v>3</v>
      </c>
      <c r="T98" s="109" t="str">
        <f ca="1">IF(OR(TRIM(P82)="-",TRIM(P83)="-"), IF(TRIM(P82)="-",P83,P82),IF(AND(Q82="",Q83="")," ",IF(N(Q82)=N(Q83)," ",IF(N(Q82)&gt;N(Q83),P82,P83))))</f>
        <v xml:space="preserve"> </v>
      </c>
      <c r="U98" s="155"/>
      <c r="V98" s="195"/>
      <c r="W98" s="181"/>
      <c r="X98" s="17"/>
      <c r="Y98" s="17"/>
      <c r="Z98" s="17"/>
      <c r="AA98" s="17"/>
      <c r="AB98" s="17"/>
      <c r="AC98" s="17"/>
      <c r="AD98" s="17"/>
      <c r="AE98" s="17"/>
      <c r="AF98" s="17"/>
      <c r="AG98" s="17"/>
      <c r="AH98" s="17"/>
      <c r="AI98" s="17"/>
      <c r="AJ98" s="17"/>
    </row>
    <row r="99" spans="1:36" ht="18.899999999999999" thickTop="1" thickBot="1">
      <c r="A99" s="104"/>
      <c r="B99" s="191"/>
      <c r="C99" s="192"/>
      <c r="D99" s="371" t="s">
        <v>447</v>
      </c>
      <c r="E99" s="374" t="str">
        <f ca="1">IF(OR(TRIM(D100)="-",TRIM(D101)="-"),"",VLOOKUP(MIN(C100,C101),Hřiště!$B$11:$E$42,4,0))</f>
        <v/>
      </c>
      <c r="F99" s="23"/>
      <c r="G99" s="181"/>
      <c r="H99" s="201"/>
      <c r="I99" s="231"/>
      <c r="J99" s="181"/>
      <c r="K99" s="181"/>
      <c r="L99" s="214"/>
      <c r="M99" s="231"/>
      <c r="N99" s="181"/>
      <c r="O99" s="181"/>
      <c r="P99" s="214"/>
      <c r="Q99" s="231"/>
      <c r="R99" s="181"/>
      <c r="S99" s="110">
        <v>2</v>
      </c>
      <c r="T99" s="111" t="str">
        <f ca="1">IF(OR(TRIM(P114)="-",TRIM(P115)="-"), IF(TRIM(P114)="-",P115,P114),IF(AND(Q114="",Q115="")," ",IF(N(Q114)=N(Q115)," ",IF(N(Q114)&gt;N(Q115),P114,P115))))</f>
        <v xml:space="preserve"> </v>
      </c>
      <c r="U99" s="156"/>
      <c r="V99" s="182"/>
      <c r="W99" s="181"/>
      <c r="X99" s="17"/>
      <c r="Y99" s="18"/>
      <c r="Z99" s="17"/>
      <c r="AA99" s="17"/>
      <c r="AB99" s="17"/>
      <c r="AC99" s="17"/>
      <c r="AD99" s="17"/>
      <c r="AE99" s="17"/>
      <c r="AF99" s="17"/>
      <c r="AG99" s="17"/>
      <c r="AH99" s="17"/>
      <c r="AI99" s="17"/>
      <c r="AJ99" s="17"/>
    </row>
    <row r="100" spans="1:36" ht="18.45" thickTop="1" thickBot="1">
      <c r="A100" s="116" t="str">
        <f ca="1">VLOOKUP(C100,Postupy!$A$3:$C$66,3,0)</f>
        <v>G1</v>
      </c>
      <c r="B100" s="179"/>
      <c r="C100" s="108">
        <v>7</v>
      </c>
      <c r="D100" s="109" t="str">
        <f ca="1">VLOOKUP(C100,Postupy!$A$3:$B$66,2,0)</f>
        <v>26 HAVAJ CB - Koreš st. Jiří</v>
      </c>
      <c r="E100" s="155"/>
      <c r="F100" s="184"/>
      <c r="G100" s="181"/>
      <c r="H100" s="198"/>
      <c r="I100" s="231"/>
      <c r="J100" s="181"/>
      <c r="K100" s="181"/>
      <c r="L100" s="214"/>
      <c r="M100" s="231"/>
      <c r="N100" s="181"/>
      <c r="O100" s="181"/>
      <c r="P100" s="208"/>
      <c r="Q100" s="232"/>
      <c r="R100" s="190"/>
      <c r="S100" s="202"/>
      <c r="T100" s="215"/>
      <c r="U100" s="30"/>
      <c r="V100" s="181"/>
      <c r="W100" s="181"/>
      <c r="X100" s="17"/>
      <c r="Y100" s="18"/>
      <c r="Z100" s="17"/>
      <c r="AA100" s="17"/>
      <c r="AB100" s="17"/>
      <c r="AC100" s="17"/>
      <c r="AD100" s="17"/>
      <c r="AE100" s="17"/>
      <c r="AF100" s="17"/>
      <c r="AG100" s="17"/>
      <c r="AH100" s="17"/>
      <c r="AI100" s="17"/>
      <c r="AJ100" s="17"/>
    </row>
    <row r="101" spans="1:36" ht="18.899999999999999" thickTop="1" thickBot="1">
      <c r="A101" s="116" t="str">
        <f ca="1">VLOOKUP(C101,Postupy!$A$3:$C$66,3,0)</f>
        <v/>
      </c>
      <c r="B101" s="179"/>
      <c r="C101" s="110">
        <v>58</v>
      </c>
      <c r="D101" s="111" t="str">
        <f ca="1">VLOOKUP(C101,Postupy!$A$3:$B$66,2,0)</f>
        <v xml:space="preserve"> - </v>
      </c>
      <c r="E101" s="156"/>
      <c r="F101" s="210"/>
      <c r="G101" s="184"/>
      <c r="H101" s="371" t="s">
        <v>447</v>
      </c>
      <c r="I101" s="374" t="str">
        <f ca="1">IF(OR(TRIM(H102)="-",TRIM(H103)="-"),"",VLOOKUP(MIN(G102,G103),Hřiště!$B$11:$E$42,4,0))</f>
        <v/>
      </c>
      <c r="J101" s="181"/>
      <c r="K101" s="181"/>
      <c r="L101" s="214"/>
      <c r="M101" s="231"/>
      <c r="N101" s="181"/>
      <c r="O101" s="181"/>
      <c r="P101" s="208"/>
      <c r="Q101" s="232"/>
      <c r="R101" s="190"/>
      <c r="S101" s="193"/>
      <c r="T101" s="186"/>
      <c r="U101" s="50"/>
      <c r="V101" s="181"/>
      <c r="W101" s="181"/>
      <c r="X101" s="35"/>
      <c r="Y101" s="17"/>
      <c r="Z101" s="17"/>
      <c r="AA101" s="17"/>
      <c r="AB101" s="17"/>
      <c r="AC101" s="17"/>
      <c r="AD101" s="17"/>
      <c r="AE101" s="17"/>
      <c r="AF101" s="17"/>
      <c r="AG101" s="17"/>
      <c r="AH101" s="17"/>
      <c r="AI101" s="17"/>
      <c r="AJ101" s="17"/>
    </row>
    <row r="102" spans="1:36" ht="18" thickBot="1">
      <c r="A102" s="107"/>
      <c r="B102" s="187"/>
      <c r="C102" s="187">
        <f>C100+C101</f>
        <v>65</v>
      </c>
      <c r="D102" s="188"/>
      <c r="E102" s="228"/>
      <c r="F102" s="189"/>
      <c r="G102" s="108">
        <v>7</v>
      </c>
      <c r="H102" s="109" t="str">
        <f ca="1">IF(OR(TRIM(D100)="-",TRIM(D101)="-"), IF(TRIM(D100)="-",D101,D100),IF(AND(E100="",E101="")," ",IF(N(E100)=N(E101)," ",IF(N(E100)&gt;N(E101),D100,D101))))</f>
        <v>26 HAVAJ CB - Koreš st. Jiří</v>
      </c>
      <c r="I102" s="155"/>
      <c r="J102" s="180"/>
      <c r="K102" s="181"/>
      <c r="L102" s="214"/>
      <c r="M102" s="231"/>
      <c r="N102" s="181"/>
      <c r="O102" s="181"/>
      <c r="P102" s="208"/>
      <c r="Q102" s="232"/>
      <c r="R102" s="190"/>
      <c r="S102" s="193"/>
      <c r="T102" s="186"/>
      <c r="U102" s="50"/>
      <c r="V102" s="181"/>
      <c r="W102" s="181"/>
      <c r="X102" s="35"/>
      <c r="Y102" s="17"/>
      <c r="Z102" s="17"/>
      <c r="AA102" s="17"/>
      <c r="AB102" s="17"/>
      <c r="AC102" s="17"/>
      <c r="AD102" s="17"/>
      <c r="AE102" s="17"/>
      <c r="AF102" s="17"/>
      <c r="AG102" s="17"/>
      <c r="AH102" s="17"/>
      <c r="AI102" s="17"/>
      <c r="AJ102" s="17"/>
    </row>
    <row r="103" spans="1:36" ht="18.899999999999999" thickTop="1" thickBot="1">
      <c r="A103" s="104"/>
      <c r="B103" s="191"/>
      <c r="C103" s="192"/>
      <c r="D103" s="371" t="s">
        <v>447</v>
      </c>
      <c r="E103" s="374" t="str">
        <f ca="1">IF(OR(TRIM(D104)="-",TRIM(D105)="-"),"",VLOOKUP(MIN(C104,C105),Hřiště!$B$11:$E$42,4,0))</f>
        <v/>
      </c>
      <c r="F103" s="189"/>
      <c r="G103" s="110">
        <v>26</v>
      </c>
      <c r="H103" s="111" t="str">
        <f ca="1">IF(OR(TRIM(D104)="-",TRIM(D105)="-"), IF(TRIM(D104)="-",D105,D104),IF(AND(E104="",E105="")," ",IF(N(E104)=N(E105)," ",IF(N(E104)&gt;N(E105),D104,D105))))</f>
        <v>40 PC Mimo Done - Šíma Jaroslav</v>
      </c>
      <c r="I103" s="156"/>
      <c r="J103" s="183"/>
      <c r="K103" s="193"/>
      <c r="L103" s="188"/>
      <c r="M103" s="229"/>
      <c r="N103" s="181"/>
      <c r="O103" s="181"/>
      <c r="P103" s="208"/>
      <c r="Q103" s="232"/>
      <c r="R103" s="190"/>
      <c r="S103" s="193"/>
      <c r="T103" s="186"/>
      <c r="U103" s="50"/>
      <c r="V103" s="181"/>
      <c r="W103" s="181"/>
      <c r="X103" s="242" t="s">
        <v>135</v>
      </c>
      <c r="Y103" s="231"/>
      <c r="Z103" s="181"/>
      <c r="AA103" s="181"/>
      <c r="AB103" s="17"/>
      <c r="AC103" s="17"/>
      <c r="AD103" s="17"/>
      <c r="AE103" s="17"/>
      <c r="AF103" s="17"/>
      <c r="AG103" s="17"/>
      <c r="AH103" s="17"/>
      <c r="AI103" s="17"/>
      <c r="AJ103" s="17"/>
    </row>
    <row r="104" spans="1:36" ht="18.45" thickTop="1" thickBot="1">
      <c r="A104" s="116" t="str">
        <f ca="1">VLOOKUP(C104,Postupy!$A$3:$C$66,3,0)</f>
        <v/>
      </c>
      <c r="B104" s="179"/>
      <c r="C104" s="108">
        <v>39</v>
      </c>
      <c r="D104" s="109" t="str">
        <f ca="1">VLOOKUP(C104,Postupy!$A$3:$B$66,2,0)</f>
        <v xml:space="preserve"> - </v>
      </c>
      <c r="E104" s="155"/>
      <c r="F104" s="195"/>
      <c r="G104" s="202"/>
      <c r="H104" s="203"/>
      <c r="I104" s="233"/>
      <c r="J104" s="190"/>
      <c r="K104" s="193"/>
      <c r="L104" s="212"/>
      <c r="M104" s="229"/>
      <c r="N104" s="181"/>
      <c r="O104" s="181"/>
      <c r="P104" s="208"/>
      <c r="Q104" s="232"/>
      <c r="R104" s="190"/>
      <c r="S104" s="193"/>
      <c r="T104" s="181"/>
      <c r="U104" s="50"/>
      <c r="V104" s="181"/>
      <c r="W104" s="181"/>
      <c r="X104" s="243" t="s">
        <v>136</v>
      </c>
      <c r="Y104" s="231"/>
      <c r="Z104" s="181"/>
      <c r="AA104" s="181"/>
      <c r="AB104" s="17"/>
      <c r="AC104" s="17"/>
      <c r="AD104" s="17"/>
      <c r="AE104" s="17"/>
      <c r="AF104" s="17"/>
      <c r="AG104" s="17"/>
      <c r="AH104" s="17"/>
      <c r="AI104" s="17"/>
      <c r="AJ104" s="17"/>
    </row>
    <row r="105" spans="1:36" ht="18.899999999999999" thickTop="1" thickBot="1">
      <c r="A105" s="116" t="str">
        <f ca="1">VLOOKUP(C105,Postupy!$A$3:$C$66,3,0)</f>
        <v>H2</v>
      </c>
      <c r="B105" s="179"/>
      <c r="C105" s="110">
        <v>26</v>
      </c>
      <c r="D105" s="111" t="str">
        <f ca="1">VLOOKUP(C105,Postupy!$A$3:$B$66,2,0)</f>
        <v>40 PC Mimo Done - Šíma Jaroslav</v>
      </c>
      <c r="E105" s="156"/>
      <c r="F105" s="182"/>
      <c r="G105" s="181"/>
      <c r="H105" s="198"/>
      <c r="I105" s="232"/>
      <c r="J105" s="190"/>
      <c r="K105" s="184"/>
      <c r="L105" s="371" t="s">
        <v>447</v>
      </c>
      <c r="M105" s="374" t="str">
        <f ca="1">IF(OR(TRIM(L106)="-",TRIM(L107)="-"),"",VLOOKUP(MIN(K106,K107),Hřiště!$B$11:$E$42,4,0))</f>
        <v/>
      </c>
      <c r="N105" s="200"/>
      <c r="O105" s="181"/>
      <c r="P105" s="208"/>
      <c r="Q105" s="232"/>
      <c r="R105" s="190"/>
      <c r="S105" s="193"/>
      <c r="T105" s="181"/>
      <c r="U105" s="50"/>
      <c r="V105" s="181"/>
      <c r="W105" s="181"/>
      <c r="X105" s="371" t="s">
        <v>447</v>
      </c>
      <c r="Y105" s="374" t="str">
        <f ca="1">IF(OR(TRIM(X106)="-",TRIM(X107)="-"),"",VLOOKUP(MIN(W106,W107),Hřiště!$B$11:$E$42,4,0))</f>
        <v/>
      </c>
      <c r="Z105" s="181"/>
      <c r="AA105" s="181"/>
      <c r="AB105" s="17"/>
      <c r="AC105" s="17"/>
      <c r="AD105" s="17"/>
      <c r="AE105" s="17"/>
      <c r="AF105" s="17"/>
      <c r="AG105" s="17"/>
      <c r="AH105" s="17"/>
      <c r="AI105" s="17"/>
      <c r="AJ105" s="17"/>
    </row>
    <row r="106" spans="1:36" ht="18.45" thickTop="1" thickBot="1">
      <c r="A106" s="107"/>
      <c r="B106" s="187"/>
      <c r="C106" s="187">
        <f>C104+C105</f>
        <v>65</v>
      </c>
      <c r="D106" s="188"/>
      <c r="E106" s="228"/>
      <c r="F106" s="339">
        <f>C102+C106</f>
        <v>130</v>
      </c>
      <c r="G106" s="181"/>
      <c r="H106" s="201"/>
      <c r="I106" s="231"/>
      <c r="J106" s="181"/>
      <c r="K106" s="108">
        <v>7</v>
      </c>
      <c r="L106" s="109" t="str">
        <f ca="1">IF(OR(TRIM(H102)="-",TRIM(H103)="-"), IF(TRIM(H102)="-",H103,H102),IF(AND(I102="",I103="")," ",IF(N(I102)=N(I103)," ",IF(N(I102)&gt;N(I103),H102,H103))))</f>
        <v xml:space="preserve"> </v>
      </c>
      <c r="M106" s="155"/>
      <c r="N106" s="180"/>
      <c r="O106" s="50"/>
      <c r="P106" s="208"/>
      <c r="Q106" s="232"/>
      <c r="R106" s="190"/>
      <c r="S106" s="193"/>
      <c r="T106" s="50"/>
      <c r="U106" s="50"/>
      <c r="V106" s="181"/>
      <c r="W106" s="108">
        <v>4</v>
      </c>
      <c r="X106" s="109" t="str">
        <f ca="1">IF(OR(TRIM(T34)="-",TRIM(T35)="-"), IF(TRIM(T34)="-",T34,T35),IF(AND(U34="",U35="")," ",IF(N(U34)=N(U35)," ",IF(N(U34)&gt;N(U35),T35,T34))))</f>
        <v xml:space="preserve"> </v>
      </c>
      <c r="Y106" s="155"/>
      <c r="Z106" s="195"/>
      <c r="AA106" s="39">
        <v>3</v>
      </c>
      <c r="AB106" s="131" t="str">
        <f>IF(AND(Y106="",Y107="")," ",IF(N(Y106)=N(Y107)," ",IF(N(Y106)&gt;N(Y107),X106,X107)))</f>
        <v xml:space="preserve"> </v>
      </c>
      <c r="AC106" s="130">
        <v>3</v>
      </c>
      <c r="AD106" s="17"/>
      <c r="AE106" s="17"/>
      <c r="AF106" s="17"/>
      <c r="AG106" s="18"/>
      <c r="AH106" s="18"/>
      <c r="AI106" s="17"/>
      <c r="AJ106" s="17"/>
    </row>
    <row r="107" spans="1:36" ht="18.899999999999999" thickTop="1" thickBot="1">
      <c r="A107" s="104"/>
      <c r="B107" s="191"/>
      <c r="C107" s="192"/>
      <c r="D107" s="371" t="s">
        <v>447</v>
      </c>
      <c r="E107" s="374" t="str">
        <f ca="1">IF(OR(TRIM(D108)="-",TRIM(D109)="-"),"",VLOOKUP(MIN(C108,C109),Hřiště!$B$11:$E$42,4,0))</f>
        <v/>
      </c>
      <c r="F107" s="181"/>
      <c r="G107" s="181"/>
      <c r="H107" s="201"/>
      <c r="I107" s="231"/>
      <c r="J107" s="181"/>
      <c r="K107" s="110">
        <v>10</v>
      </c>
      <c r="L107" s="111" t="str">
        <f ca="1">IF(OR(TRIM(H110)="-",TRIM(H111)="-"), IF(TRIM(H110)="-",H111,H110),IF(AND(I110="",I111="")," ",IF(N(I110)=N(I111)," ",IF(N(I110)&gt;N(I111),H110,H111))))</f>
        <v xml:space="preserve"> </v>
      </c>
      <c r="M107" s="156"/>
      <c r="N107" s="183"/>
      <c r="O107" s="193"/>
      <c r="P107" s="208"/>
      <c r="Q107" s="232"/>
      <c r="R107" s="190"/>
      <c r="S107" s="193"/>
      <c r="T107" s="50"/>
      <c r="U107" s="50"/>
      <c r="V107" s="181"/>
      <c r="W107" s="110">
        <v>3</v>
      </c>
      <c r="X107" s="111" t="str">
        <f ca="1">IF(OR(TRIM(T98)="-",TRIM(T99)="-"), IF(TRIM(T98)="-",T98,T99),IF(AND(U98="",U99="")," ",IF(N(U98)=N(U99)," ",IF(N(U98)&gt;N(U99),T99,T98))))</f>
        <v xml:space="preserve"> </v>
      </c>
      <c r="Y107" s="156"/>
      <c r="Z107" s="183"/>
      <c r="AA107" s="39">
        <v>4</v>
      </c>
      <c r="AB107" s="131" t="str">
        <f>IF(AND(Y106="",Y107="")," ",IF(N(Y107)=N(Y106)," ",IF(N(Y107)&gt;N(Y106),X106,X107)))</f>
        <v xml:space="preserve"> </v>
      </c>
      <c r="AC107" s="130">
        <v>4</v>
      </c>
      <c r="AD107" s="17"/>
      <c r="AE107" s="18"/>
      <c r="AF107" s="18"/>
      <c r="AG107" s="18"/>
      <c r="AH107" s="18"/>
      <c r="AI107" s="17"/>
      <c r="AJ107" s="17"/>
    </row>
    <row r="108" spans="1:36" ht="18.45" thickTop="1" thickBot="1">
      <c r="A108" s="116" t="str">
        <f ca="1">VLOOKUP(C108,Postupy!$A$3:$C$66,3,0)</f>
        <v>I2</v>
      </c>
      <c r="B108" s="179"/>
      <c r="C108" s="108">
        <v>23</v>
      </c>
      <c r="D108" s="109" t="str">
        <f ca="1">VLOOKUP(C108,Postupy!$A$3:$B$66,2,0)</f>
        <v>24 SPORT Kolín - Šternberg Martin</v>
      </c>
      <c r="E108" s="155"/>
      <c r="F108" s="184"/>
      <c r="G108" s="181"/>
      <c r="H108" s="198"/>
      <c r="I108" s="231"/>
      <c r="J108" s="190"/>
      <c r="K108" s="202"/>
      <c r="L108" s="203"/>
      <c r="M108" s="233"/>
      <c r="N108" s="181"/>
      <c r="O108" s="193"/>
      <c r="P108" s="208"/>
      <c r="Q108" s="232"/>
      <c r="R108" s="190"/>
      <c r="S108" s="193"/>
      <c r="T108" s="50"/>
      <c r="U108" s="50"/>
      <c r="V108" s="181"/>
      <c r="W108" s="181"/>
      <c r="X108" s="50"/>
      <c r="Y108" s="229"/>
      <c r="Z108" s="50"/>
      <c r="AA108" s="181"/>
      <c r="AB108" s="17"/>
      <c r="AC108" s="17"/>
      <c r="AD108" s="17"/>
      <c r="AE108" s="17"/>
      <c r="AF108" s="17"/>
      <c r="AG108" s="17"/>
      <c r="AH108" s="17"/>
      <c r="AI108" s="17"/>
      <c r="AJ108" s="17"/>
    </row>
    <row r="109" spans="1:36" ht="18.899999999999999" thickTop="1" thickBot="1">
      <c r="A109" s="116" t="str">
        <f ca="1">VLOOKUP(C109,Postupy!$A$3:$C$66,3,0)</f>
        <v/>
      </c>
      <c r="B109" s="179"/>
      <c r="C109" s="110">
        <v>42</v>
      </c>
      <c r="D109" s="111" t="str">
        <f ca="1">VLOOKUP(C109,Postupy!$A$3:$B$66,2,0)</f>
        <v xml:space="preserve"> - </v>
      </c>
      <c r="E109" s="156"/>
      <c r="F109" s="204" t="s">
        <v>119</v>
      </c>
      <c r="G109" s="184"/>
      <c r="H109" s="371" t="s">
        <v>447</v>
      </c>
      <c r="I109" s="374" t="str">
        <f ca="1">IF(OR(TRIM(H110)="-",TRIM(H111)="-"),"",VLOOKUP(MIN(G110,G111),Hřiště!$B$11:$E$42,4,0))</f>
        <v/>
      </c>
      <c r="J109" s="190"/>
      <c r="K109" s="193"/>
      <c r="L109" s="201"/>
      <c r="M109" s="229"/>
      <c r="N109" s="181"/>
      <c r="O109" s="193"/>
      <c r="P109" s="208"/>
      <c r="Q109" s="232"/>
      <c r="R109" s="190"/>
      <c r="S109" s="193"/>
      <c r="T109" s="50"/>
      <c r="U109" s="50"/>
      <c r="V109" s="181"/>
      <c r="W109" s="181"/>
      <c r="X109" s="17"/>
      <c r="Y109" s="17"/>
      <c r="Z109" s="17"/>
      <c r="AA109" s="17"/>
      <c r="AB109" s="17"/>
      <c r="AC109" s="17"/>
      <c r="AD109" s="17"/>
      <c r="AE109" s="17"/>
      <c r="AF109" s="17"/>
      <c r="AG109" s="17"/>
      <c r="AH109" s="17"/>
      <c r="AI109" s="17"/>
      <c r="AJ109" s="17"/>
    </row>
    <row r="110" spans="1:36" ht="18" thickBot="1">
      <c r="A110" s="107"/>
      <c r="B110" s="187"/>
      <c r="C110" s="187">
        <f>C108+C109</f>
        <v>65</v>
      </c>
      <c r="D110" s="188"/>
      <c r="E110" s="228"/>
      <c r="F110" s="189"/>
      <c r="G110" s="108">
        <v>23</v>
      </c>
      <c r="H110" s="109" t="str">
        <f ca="1">IF(OR(TRIM(D108)="-",TRIM(D109)="-"), IF(TRIM(D108)="-",D109,D108),IF(AND(E108="",E109="")," ",IF(N(E108)=N(E109)," ",IF(N(E108)&gt;N(E109),D108,D109))))</f>
        <v>24 SPORT Kolín - Šternberg Martin</v>
      </c>
      <c r="I110" s="155"/>
      <c r="J110" s="195"/>
      <c r="K110" s="193"/>
      <c r="L110" s="201"/>
      <c r="M110" s="229"/>
      <c r="N110" s="181"/>
      <c r="O110" s="193"/>
      <c r="P110" s="208"/>
      <c r="Q110" s="232"/>
      <c r="R110" s="190"/>
      <c r="S110" s="193"/>
      <c r="T110" s="50"/>
      <c r="U110" s="50"/>
      <c r="V110" s="181"/>
      <c r="W110" s="181"/>
      <c r="X110" s="17"/>
      <c r="Y110" s="17"/>
      <c r="Z110" s="17"/>
      <c r="AA110" s="17"/>
      <c r="AB110" s="17"/>
      <c r="AC110" s="17"/>
      <c r="AD110" s="17"/>
      <c r="AE110" s="17"/>
      <c r="AF110" s="17"/>
      <c r="AG110" s="17"/>
      <c r="AH110" s="17"/>
      <c r="AI110" s="17"/>
      <c r="AJ110" s="17"/>
    </row>
    <row r="111" spans="1:36" ht="18.899999999999999" thickTop="1" thickBot="1">
      <c r="A111" s="104"/>
      <c r="B111" s="191"/>
      <c r="C111" s="192"/>
      <c r="D111" s="371" t="s">
        <v>447</v>
      </c>
      <c r="E111" s="374" t="str">
        <f ca="1">IF(OR(TRIM(D112)="-",TRIM(D113)="-"),"",VLOOKUP(MIN(C112,C113),Hřiště!$B$11:$E$42,4,0))</f>
        <v/>
      </c>
      <c r="F111" s="200"/>
      <c r="G111" s="110">
        <v>10</v>
      </c>
      <c r="H111" s="111" t="str">
        <f ca="1">IF(OR(TRIM(D112)="-",TRIM(D113)="-"), IF(TRIM(D112)="-",D113,D112),IF(AND(E112="",E113="")," ",IF(N(E112)=N(E113)," ",IF(N(E112)&gt;N(E113),D112,D113))))</f>
        <v>23 PLUK Jablonec - Lukáš Petr</v>
      </c>
      <c r="I111" s="156"/>
      <c r="J111" s="182"/>
      <c r="K111" s="181"/>
      <c r="L111" s="201"/>
      <c r="M111" s="231"/>
      <c r="N111" s="181"/>
      <c r="O111" s="193"/>
      <c r="P111" s="208"/>
      <c r="Q111" s="232"/>
      <c r="R111" s="190"/>
      <c r="S111" s="193"/>
      <c r="T111" s="50"/>
      <c r="U111" s="50"/>
      <c r="V111" s="181"/>
      <c r="W111" s="181"/>
      <c r="X111" s="17"/>
      <c r="Y111" s="17"/>
      <c r="Z111" s="17"/>
      <c r="AA111" s="17"/>
      <c r="AB111" s="17"/>
      <c r="AC111" s="17"/>
      <c r="AD111" s="17"/>
      <c r="AE111" s="17"/>
      <c r="AF111" s="17"/>
      <c r="AG111" s="17"/>
      <c r="AH111" s="17"/>
      <c r="AI111" s="17"/>
      <c r="AJ111" s="17"/>
    </row>
    <row r="112" spans="1:36" ht="18.45" thickTop="1" thickBot="1">
      <c r="A112" s="116" t="str">
        <f ca="1">VLOOKUP(C112,Postupy!$A$3:$C$66,3,0)</f>
        <v/>
      </c>
      <c r="B112" s="179"/>
      <c r="C112" s="108">
        <v>55</v>
      </c>
      <c r="D112" s="109" t="str">
        <f ca="1">VLOOKUP(C112,Postupy!$A$3:$B$66,2,0)</f>
        <v xml:space="preserve"> - </v>
      </c>
      <c r="E112" s="155"/>
      <c r="F112" s="205"/>
      <c r="G112" s="202"/>
      <c r="H112" s="203"/>
      <c r="I112" s="233"/>
      <c r="J112" s="181"/>
      <c r="K112" s="181"/>
      <c r="L112" s="198"/>
      <c r="M112" s="231"/>
      <c r="N112" s="181"/>
      <c r="O112" s="193"/>
      <c r="P112" s="212"/>
      <c r="Q112" s="232"/>
      <c r="R112" s="190"/>
      <c r="S112" s="193"/>
      <c r="T112" s="50"/>
      <c r="U112" s="50"/>
      <c r="V112" s="181"/>
      <c r="W112" s="190"/>
      <c r="X112" s="17"/>
      <c r="Y112" s="17"/>
      <c r="Z112" s="17"/>
      <c r="AA112" s="17"/>
      <c r="AB112" s="17"/>
      <c r="AC112" s="17"/>
      <c r="AD112" s="17"/>
      <c r="AE112" s="17"/>
      <c r="AF112" s="17"/>
      <c r="AG112" s="17"/>
      <c r="AH112" s="17"/>
      <c r="AI112" s="17"/>
      <c r="AJ112" s="17"/>
    </row>
    <row r="113" spans="1:36" ht="18.899999999999999" thickTop="1" thickBot="1">
      <c r="A113" s="116" t="str">
        <f ca="1">VLOOKUP(C113,Postupy!$A$3:$C$66,3,0)</f>
        <v>J1</v>
      </c>
      <c r="B113" s="179"/>
      <c r="C113" s="110">
        <v>10</v>
      </c>
      <c r="D113" s="111" t="str">
        <f ca="1">VLOOKUP(C113,Postupy!$A$3:$B$66,2,0)</f>
        <v>23 PLUK Jablonec - Lukáš Petr</v>
      </c>
      <c r="E113" s="156"/>
      <c r="F113" s="206"/>
      <c r="G113" s="181"/>
      <c r="H113" s="198"/>
      <c r="I113" s="231"/>
      <c r="J113" s="181"/>
      <c r="K113" s="181"/>
      <c r="L113" s="207"/>
      <c r="M113" s="232"/>
      <c r="N113" s="190"/>
      <c r="O113" s="184"/>
      <c r="P113" s="371" t="s">
        <v>447</v>
      </c>
      <c r="Q113" s="374" t="str">
        <f ca="1">IF(OR(TRIM(P114)="-",TRIM(P115)="-"),"",VLOOKUP(MIN(O114,O115),Hřiště!$B$11:$E$42,4,0))</f>
        <v/>
      </c>
      <c r="R113" s="190"/>
      <c r="S113" s="193"/>
      <c r="T113" s="50"/>
      <c r="U113" s="50"/>
      <c r="V113" s="181"/>
      <c r="W113" s="181"/>
      <c r="X113" s="17"/>
      <c r="Y113" s="17"/>
      <c r="Z113" s="17"/>
      <c r="AA113" s="17"/>
      <c r="AB113" s="17"/>
      <c r="AC113" s="17"/>
      <c r="AD113" s="17"/>
      <c r="AE113" s="17"/>
      <c r="AF113" s="17"/>
      <c r="AG113" s="17"/>
      <c r="AH113" s="17"/>
      <c r="AI113" s="17"/>
      <c r="AJ113" s="17"/>
    </row>
    <row r="114" spans="1:36" ht="18" thickBot="1">
      <c r="A114" s="107"/>
      <c r="B114" s="187"/>
      <c r="C114" s="187">
        <f>C112+C113</f>
        <v>65</v>
      </c>
      <c r="D114" s="188"/>
      <c r="E114" s="228"/>
      <c r="F114" s="339">
        <f>C110+C114</f>
        <v>130</v>
      </c>
      <c r="G114" s="339"/>
      <c r="H114" s="201"/>
      <c r="I114" s="231"/>
      <c r="J114" s="181"/>
      <c r="K114" s="181"/>
      <c r="L114" s="208"/>
      <c r="M114" s="232"/>
      <c r="N114" s="190"/>
      <c r="O114" s="108">
        <v>7</v>
      </c>
      <c r="P114" s="109" t="str">
        <f ca="1">IF(OR(TRIM(L106)="-",TRIM(L107)="-"), IF(TRIM(L106)="-",L107,L106),IF(AND(M106="",M107="")," ",IF(N(M106)=N(M107)," ",IF(N(M106)&gt;N(M107),L106,L107))))</f>
        <v xml:space="preserve"> </v>
      </c>
      <c r="Q114" s="155"/>
      <c r="R114" s="195"/>
      <c r="S114" s="193"/>
      <c r="T114" s="50"/>
      <c r="U114" s="50"/>
      <c r="V114" s="181"/>
      <c r="W114" s="181"/>
      <c r="X114" s="17"/>
      <c r="Y114" s="17"/>
      <c r="Z114" s="17"/>
      <c r="AA114" s="17"/>
      <c r="AB114" s="17"/>
      <c r="AC114" s="17"/>
      <c r="AD114" s="17"/>
      <c r="AE114" s="17"/>
      <c r="AF114" s="17"/>
      <c r="AG114" s="17"/>
      <c r="AH114" s="17"/>
      <c r="AI114" s="17"/>
      <c r="AJ114" s="17"/>
    </row>
    <row r="115" spans="1:36" ht="18.899999999999999" thickTop="1" thickBot="1">
      <c r="A115" s="104"/>
      <c r="B115" s="191"/>
      <c r="C115" s="192"/>
      <c r="D115" s="371" t="s">
        <v>447</v>
      </c>
      <c r="E115" s="374" t="str">
        <f ca="1">IF(OR(TRIM(D116)="-",TRIM(D117)="-"),"",VLOOKUP(MIN(C116,C117),Hřiště!$B$11:$E$42,4,0))</f>
        <v/>
      </c>
      <c r="F115" s="339"/>
      <c r="G115" s="181"/>
      <c r="H115" s="201"/>
      <c r="I115" s="231"/>
      <c r="J115" s="181"/>
      <c r="K115" s="181"/>
      <c r="L115" s="208"/>
      <c r="M115" s="232"/>
      <c r="N115" s="190"/>
      <c r="O115" s="110">
        <v>2</v>
      </c>
      <c r="P115" s="111" t="str">
        <f ca="1">IF(OR(TRIM(L122)="-",TRIM(L123)="-"),IF(TRIM(L122)="-",L123,L122),IF(AND(M122="",M123="")," ",IF(N(M122)=N(M123)," ",IF(N(M122)&gt;N(M123),L122,L123))))</f>
        <v xml:space="preserve"> </v>
      </c>
      <c r="Q115" s="156"/>
      <c r="R115" s="182"/>
      <c r="S115" s="181"/>
      <c r="U115" s="181"/>
      <c r="V115" s="181"/>
      <c r="W115" s="190"/>
      <c r="X115" s="17"/>
      <c r="Y115" s="17"/>
      <c r="Z115" s="17"/>
      <c r="AA115" s="17"/>
      <c r="AB115" s="17"/>
      <c r="AC115" s="17"/>
      <c r="AD115" s="17"/>
      <c r="AE115" s="17"/>
      <c r="AF115" s="17"/>
      <c r="AG115" s="17"/>
      <c r="AH115" s="17"/>
      <c r="AI115" s="17"/>
      <c r="AJ115" s="17"/>
    </row>
    <row r="116" spans="1:36" ht="18.45" thickTop="1" thickBot="1">
      <c r="A116" s="116" t="str">
        <f ca="1">VLOOKUP(C116,Postupy!$A$3:$C$66,3,0)</f>
        <v>O1</v>
      </c>
      <c r="B116" s="179"/>
      <c r="C116" s="108">
        <v>15</v>
      </c>
      <c r="D116" s="109" t="str">
        <f ca="1">VLOOKUP(C116,Postupy!$A$3:$B$66,2,0)</f>
        <v>15 1. KPK Vrchlabí - Hančová Alice</v>
      </c>
      <c r="E116" s="155"/>
      <c r="F116" s="184"/>
      <c r="G116" s="181"/>
      <c r="H116" s="198"/>
      <c r="I116" s="231"/>
      <c r="J116" s="181"/>
      <c r="K116" s="181"/>
      <c r="L116" s="208"/>
      <c r="M116" s="232"/>
      <c r="N116" s="189"/>
      <c r="O116" s="202"/>
      <c r="P116" s="215"/>
      <c r="Q116" s="50"/>
      <c r="R116" s="181"/>
      <c r="S116" s="181"/>
      <c r="T116" s="50"/>
      <c r="U116" s="181"/>
      <c r="V116" s="181"/>
      <c r="W116" s="181"/>
      <c r="X116" s="17"/>
      <c r="Y116" s="17"/>
      <c r="Z116" s="17"/>
      <c r="AA116" s="17"/>
      <c r="AB116" s="17"/>
      <c r="AC116" s="17"/>
      <c r="AD116" s="17"/>
      <c r="AE116" s="17"/>
      <c r="AF116" s="17"/>
      <c r="AG116" s="17"/>
      <c r="AH116" s="17"/>
      <c r="AI116" s="17"/>
      <c r="AJ116" s="17"/>
    </row>
    <row r="117" spans="1:36" ht="18.899999999999999" thickTop="1" thickBot="1">
      <c r="A117" s="116" t="str">
        <f ca="1">VLOOKUP(C117,Postupy!$A$3:$C$66,3,0)</f>
        <v/>
      </c>
      <c r="B117" s="179"/>
      <c r="C117" s="110">
        <v>50</v>
      </c>
      <c r="D117" s="111" t="str">
        <f ca="1">VLOOKUP(C117,Postupy!$A$3:$B$66,2,0)</f>
        <v xml:space="preserve"> - </v>
      </c>
      <c r="E117" s="156"/>
      <c r="F117" s="210"/>
      <c r="G117" s="184"/>
      <c r="H117" s="371" t="s">
        <v>447</v>
      </c>
      <c r="I117" s="374" t="str">
        <f ca="1">IF(OR(TRIM(H118)="-",TRIM(H119)="-"),"",VLOOKUP(MIN(G118,G119),Hřiště!$B$11:$E$42,4,0))</f>
        <v/>
      </c>
      <c r="J117" s="181"/>
      <c r="K117" s="181"/>
      <c r="L117" s="208"/>
      <c r="M117" s="232"/>
      <c r="N117" s="189"/>
      <c r="O117" s="50"/>
      <c r="P117" s="186"/>
      <c r="Q117" s="50"/>
      <c r="R117" s="181"/>
      <c r="S117" s="181"/>
      <c r="T117" s="50"/>
      <c r="U117" s="181"/>
      <c r="V117" s="181"/>
      <c r="W117" s="181"/>
      <c r="X117" s="17"/>
      <c r="Y117" s="17"/>
      <c r="Z117" s="17"/>
      <c r="AA117" s="17"/>
      <c r="AB117" s="17"/>
      <c r="AC117" s="17"/>
      <c r="AD117" s="17"/>
      <c r="AE117" s="17"/>
      <c r="AF117" s="17"/>
      <c r="AG117" s="17"/>
      <c r="AH117" s="17"/>
      <c r="AI117" s="17"/>
      <c r="AJ117" s="17"/>
    </row>
    <row r="118" spans="1:36" ht="18" thickBot="1">
      <c r="A118" s="107"/>
      <c r="B118" s="187"/>
      <c r="C118" s="187">
        <f>C116+C117</f>
        <v>65</v>
      </c>
      <c r="D118" s="188"/>
      <c r="E118" s="228"/>
      <c r="F118" s="189"/>
      <c r="G118" s="108">
        <v>15</v>
      </c>
      <c r="H118" s="109" t="str">
        <f ca="1">IF(OR(TRIM(D116)="-",TRIM(D117)="-"), IF(TRIM(D116)="-",D117,D116),IF(AND(E116="",E117="")," ",IF(N(E116)=N(E117)," ",IF(N(E116)&gt;N(E117),D116,D117))))</f>
        <v>15 1. KPK Vrchlabí - Hančová Alice</v>
      </c>
      <c r="I118" s="155"/>
      <c r="J118" s="180"/>
      <c r="K118" s="181"/>
      <c r="L118" s="208"/>
      <c r="M118" s="232"/>
      <c r="N118" s="189"/>
      <c r="O118" s="50"/>
      <c r="P118" s="186"/>
      <c r="Q118" s="50"/>
      <c r="R118" s="181"/>
      <c r="S118" s="181"/>
      <c r="T118" s="181"/>
      <c r="U118" s="181"/>
      <c r="V118" s="181"/>
      <c r="W118" s="181"/>
      <c r="X118" s="17"/>
      <c r="Y118" s="17"/>
      <c r="Z118" s="17"/>
      <c r="AA118" s="17"/>
      <c r="AB118" s="17"/>
      <c r="AC118" s="17"/>
      <c r="AD118" s="17"/>
      <c r="AE118" s="17"/>
      <c r="AF118" s="17"/>
      <c r="AG118" s="17"/>
      <c r="AH118" s="17"/>
      <c r="AI118" s="17"/>
      <c r="AJ118" s="17"/>
    </row>
    <row r="119" spans="1:36" ht="18.899999999999999" thickTop="1" thickBot="1">
      <c r="A119" s="104"/>
      <c r="B119" s="191"/>
      <c r="C119" s="192"/>
      <c r="D119" s="371" t="s">
        <v>447</v>
      </c>
      <c r="E119" s="374" t="str">
        <f ca="1">IF(OR(TRIM(D120)="-",TRIM(D121)="-"),"",VLOOKUP(MIN(C120,C121),Hřiště!$B$11:$E$42,4,0))</f>
        <v/>
      </c>
      <c r="F119" s="189"/>
      <c r="G119" s="110">
        <v>18</v>
      </c>
      <c r="H119" s="111" t="str">
        <f ca="1">IF(OR(TRIM(D120)="-",TRIM(D121)="-"), IF(TRIM(D120)="-",D121,D120),IF(AND(E120="",E121="")," ",IF(N(E120)=N(E121)," ",IF(N(E120)&gt;N(E121),D120,D121))))</f>
        <v>17 SK Sahara Vědomice - Demčíková Jiřina</v>
      </c>
      <c r="I119" s="156"/>
      <c r="J119" s="183"/>
      <c r="K119" s="193"/>
      <c r="L119" s="208"/>
      <c r="M119" s="232"/>
      <c r="N119" s="189"/>
      <c r="O119" s="50"/>
      <c r="P119" s="186"/>
      <c r="Q119" s="50"/>
      <c r="R119" s="181"/>
      <c r="S119" s="181"/>
      <c r="T119" s="50"/>
      <c r="U119" s="181"/>
      <c r="V119" s="181"/>
      <c r="W119" s="181"/>
      <c r="X119" s="17"/>
      <c r="Y119" s="17"/>
      <c r="Z119" s="17"/>
      <c r="AA119" s="17"/>
      <c r="AB119" s="17"/>
      <c r="AC119" s="17"/>
      <c r="AD119" s="17"/>
      <c r="AE119" s="17"/>
      <c r="AF119" s="17"/>
      <c r="AG119" s="17"/>
      <c r="AH119" s="17"/>
      <c r="AI119" s="17"/>
      <c r="AJ119" s="17"/>
    </row>
    <row r="120" spans="1:36" ht="18.45" thickTop="1" thickBot="1">
      <c r="A120" s="116" t="str">
        <f ca="1">VLOOKUP(C120,Postupy!$A$3:$C$66,3,0)</f>
        <v/>
      </c>
      <c r="B120" s="179"/>
      <c r="C120" s="108">
        <v>47</v>
      </c>
      <c r="D120" s="109" t="str">
        <f ca="1">VLOOKUP(C120,Postupy!$A$3:$B$66,2,0)</f>
        <v xml:space="preserve"> - </v>
      </c>
      <c r="E120" s="155"/>
      <c r="F120" s="195"/>
      <c r="G120" s="202"/>
      <c r="H120" s="203"/>
      <c r="I120" s="233"/>
      <c r="J120" s="190"/>
      <c r="K120" s="193"/>
      <c r="L120" s="212"/>
      <c r="M120" s="232"/>
      <c r="N120" s="189"/>
      <c r="O120" s="50"/>
      <c r="P120" s="186"/>
      <c r="Q120" s="50"/>
      <c r="R120" s="181"/>
      <c r="S120" s="181"/>
      <c r="T120" s="50"/>
      <c r="U120" s="181"/>
      <c r="V120" s="181"/>
      <c r="W120" s="181"/>
      <c r="X120" s="17"/>
      <c r="Y120" s="17"/>
      <c r="Z120" s="17"/>
      <c r="AA120" s="17"/>
      <c r="AB120" s="17"/>
      <c r="AC120" s="17"/>
      <c r="AD120" s="17"/>
      <c r="AE120" s="17"/>
      <c r="AF120" s="17"/>
      <c r="AG120" s="17"/>
      <c r="AH120" s="17"/>
      <c r="AI120" s="17"/>
      <c r="AJ120" s="17"/>
    </row>
    <row r="121" spans="1:36" ht="18.899999999999999" thickTop="1" thickBot="1">
      <c r="A121" s="116" t="str">
        <f ca="1">VLOOKUP(C121,Postupy!$A$3:$C$66,3,0)</f>
        <v>P2</v>
      </c>
      <c r="B121" s="179"/>
      <c r="C121" s="110">
        <v>18</v>
      </c>
      <c r="D121" s="111" t="str">
        <f ca="1">VLOOKUP(C121,Postupy!$A$3:$B$66,2,0)</f>
        <v>17 SK Sahara Vědomice - Demčíková Jiřina</v>
      </c>
      <c r="E121" s="156"/>
      <c r="F121" s="182"/>
      <c r="G121" s="181"/>
      <c r="H121" s="198"/>
      <c r="I121" s="231"/>
      <c r="J121" s="190"/>
      <c r="K121" s="184"/>
      <c r="L121" s="371" t="s">
        <v>447</v>
      </c>
      <c r="M121" s="374" t="str">
        <f ca="1">IF(OR(TRIM(L122)="-",TRIM(L123)="-"),"",VLOOKUP(MIN(K122,K123),Hřiště!$B$11:$E$42,4,0))</f>
        <v/>
      </c>
      <c r="N121" s="213"/>
      <c r="O121" s="50"/>
      <c r="P121" s="186"/>
      <c r="Q121" s="50"/>
      <c r="R121" s="181"/>
      <c r="S121" s="181"/>
      <c r="T121" s="50"/>
      <c r="U121" s="50"/>
      <c r="V121" s="50"/>
      <c r="W121" s="181"/>
      <c r="X121" s="17"/>
      <c r="Y121" s="17"/>
      <c r="Z121" s="17"/>
      <c r="AA121" s="17"/>
      <c r="AB121" s="17"/>
      <c r="AC121" s="17"/>
      <c r="AD121" s="17"/>
      <c r="AE121" s="17"/>
      <c r="AF121" s="17"/>
      <c r="AG121" s="17"/>
      <c r="AH121" s="17"/>
      <c r="AI121" s="17"/>
      <c r="AJ121" s="17"/>
    </row>
    <row r="122" spans="1:36" ht="18" thickBot="1">
      <c r="A122" s="107"/>
      <c r="B122" s="187"/>
      <c r="C122" s="187">
        <f>C120+C121</f>
        <v>65</v>
      </c>
      <c r="D122" s="188"/>
      <c r="E122" s="228"/>
      <c r="F122" s="339">
        <f>C118+C122</f>
        <v>130</v>
      </c>
      <c r="G122" s="181"/>
      <c r="H122" s="201"/>
      <c r="I122" s="231"/>
      <c r="J122" s="181"/>
      <c r="K122" s="108">
        <v>15</v>
      </c>
      <c r="L122" s="109" t="str">
        <f ca="1">IF(OR(TRIM(H118)="-",TRIM(H119)="-"), IF(TRIM(H118)="-",H119,H118),IF(AND(I118="",I119="")," ",IF(N(I118)=N(I119)," ",IF(N(I118)&gt;N(I119),H118,H119))))</f>
        <v xml:space="preserve"> </v>
      </c>
      <c r="M122" s="155"/>
      <c r="N122" s="195"/>
      <c r="O122" s="181"/>
      <c r="P122" s="186"/>
      <c r="Q122" s="181"/>
      <c r="R122" s="181"/>
      <c r="S122" s="181"/>
      <c r="T122" s="181"/>
      <c r="U122" s="181"/>
      <c r="V122" s="181"/>
      <c r="W122" s="181"/>
      <c r="X122" s="17"/>
      <c r="Y122" s="17"/>
      <c r="Z122" s="17"/>
      <c r="AA122" s="17"/>
      <c r="AB122" s="17"/>
      <c r="AC122" s="17"/>
      <c r="AD122" s="17"/>
      <c r="AE122" s="17"/>
      <c r="AF122" s="17"/>
      <c r="AG122" s="17"/>
      <c r="AH122" s="17"/>
      <c r="AI122" s="17"/>
      <c r="AJ122" s="17"/>
    </row>
    <row r="123" spans="1:36" ht="18.899999999999999" thickTop="1" thickBot="1">
      <c r="A123" s="104"/>
      <c r="B123" s="191"/>
      <c r="C123" s="192"/>
      <c r="D123" s="371" t="s">
        <v>447</v>
      </c>
      <c r="E123" s="374" t="str">
        <f ca="1">IF(OR(TRIM(D124)="-",TRIM(D125)="-"),"",VLOOKUP(MIN(C124,C125),Hřiště!$B$11:$E$42,4,0))</f>
        <v/>
      </c>
      <c r="F123" s="181"/>
      <c r="G123" s="181"/>
      <c r="H123" s="201"/>
      <c r="I123" s="231"/>
      <c r="J123" s="181"/>
      <c r="K123" s="110">
        <v>2</v>
      </c>
      <c r="L123" s="111" t="str">
        <f ca="1">IF(OR(TRIM(H126)="-",TRIM(H127)="-"), IF(TRIM(H126)="-",H127,H126),IF(AND(I126="",I127="")," ",IF(N(I126)=N(I127)," ",IF(N(I126)&gt;N(I127),H126,H127))))</f>
        <v xml:space="preserve"> </v>
      </c>
      <c r="M123" s="156"/>
      <c r="N123" s="182"/>
      <c r="O123" s="181"/>
      <c r="P123" s="186"/>
      <c r="Q123" s="181"/>
      <c r="R123" s="181"/>
      <c r="S123" s="181"/>
      <c r="T123" s="181"/>
      <c r="U123" s="181"/>
      <c r="V123" s="181"/>
      <c r="W123" s="190"/>
      <c r="X123" s="17"/>
      <c r="Y123" s="17"/>
      <c r="Z123" s="17"/>
      <c r="AA123" s="17"/>
      <c r="AB123" s="17"/>
      <c r="AC123" s="17"/>
      <c r="AD123" s="17"/>
      <c r="AE123" s="17"/>
      <c r="AF123" s="17"/>
      <c r="AG123" s="17"/>
      <c r="AH123" s="17"/>
      <c r="AI123" s="17"/>
      <c r="AJ123" s="17"/>
    </row>
    <row r="124" spans="1:36" ht="18.45" thickTop="1" thickBot="1">
      <c r="A124" s="116" t="str">
        <f ca="1">VLOOKUP(C124,Postupy!$A$3:$C$66,3,0)</f>
        <v>A2</v>
      </c>
      <c r="B124" s="179"/>
      <c r="C124" s="108">
        <v>31</v>
      </c>
      <c r="D124" s="109" t="str">
        <f ca="1">VLOOKUP(C124,Postupy!$A$3:$B$66,2,0)</f>
        <v>33 HRODE KRUMSÍN - Ptáčková Eliška</v>
      </c>
      <c r="E124" s="155"/>
      <c r="F124" s="184"/>
      <c r="G124" s="181"/>
      <c r="H124" s="198"/>
      <c r="I124" s="232"/>
      <c r="J124" s="190"/>
      <c r="K124" s="202"/>
      <c r="L124" s="215"/>
      <c r="M124" s="30"/>
      <c r="N124" s="181"/>
      <c r="O124" s="181"/>
      <c r="P124" s="181"/>
      <c r="Q124" s="181"/>
      <c r="R124" s="181"/>
      <c r="S124" s="181"/>
      <c r="T124" s="181"/>
      <c r="U124" s="181"/>
      <c r="V124" s="181"/>
      <c r="W124" s="190"/>
      <c r="X124" s="17"/>
      <c r="Y124" s="17"/>
      <c r="Z124" s="17"/>
      <c r="AA124" s="17"/>
      <c r="AB124" s="17"/>
      <c r="AC124" s="17"/>
      <c r="AD124" s="17"/>
      <c r="AE124" s="17"/>
      <c r="AF124" s="17"/>
      <c r="AG124" s="17"/>
      <c r="AH124" s="17"/>
      <c r="AI124" s="17"/>
      <c r="AJ124" s="17"/>
    </row>
    <row r="125" spans="1:36" ht="18.899999999999999" thickTop="1" thickBot="1">
      <c r="A125" s="116" t="str">
        <f ca="1">VLOOKUP(C125,Postupy!$A$3:$C$66,3,0)</f>
        <v/>
      </c>
      <c r="B125" s="179"/>
      <c r="C125" s="110">
        <v>34</v>
      </c>
      <c r="D125" s="111" t="str">
        <f ca="1">VLOOKUP(C125,Postupy!$A$3:$B$66,2,0)</f>
        <v xml:space="preserve"> - </v>
      </c>
      <c r="E125" s="156"/>
      <c r="F125" s="204" t="s">
        <v>119</v>
      </c>
      <c r="G125" s="184"/>
      <c r="H125" s="371" t="s">
        <v>447</v>
      </c>
      <c r="I125" s="374" t="str">
        <f ca="1">IF(OR(TRIM(H126)="-",TRIM(H127)="-"),"",VLOOKUP(MIN(G126,G127),Hřiště!$B$11:$E$42,4,0))</f>
        <v/>
      </c>
      <c r="J125" s="190"/>
      <c r="K125" s="193"/>
      <c r="L125" s="186"/>
      <c r="M125" s="50"/>
      <c r="N125" s="181"/>
      <c r="O125" s="181"/>
      <c r="P125" s="181"/>
      <c r="Q125" s="181"/>
      <c r="R125" s="181"/>
      <c r="S125" s="181"/>
      <c r="T125" s="181"/>
      <c r="U125" s="181"/>
      <c r="V125" s="181"/>
      <c r="W125" s="190"/>
      <c r="X125" s="17"/>
      <c r="Y125" s="17"/>
      <c r="Z125" s="17"/>
      <c r="AA125" s="17"/>
      <c r="AB125" s="17"/>
      <c r="AC125" s="17"/>
      <c r="AD125" s="17"/>
      <c r="AE125" s="17"/>
      <c r="AF125" s="17"/>
      <c r="AG125" s="17"/>
      <c r="AH125" s="17"/>
      <c r="AI125" s="17"/>
      <c r="AJ125" s="17"/>
    </row>
    <row r="126" spans="1:36" ht="18" thickBot="1">
      <c r="A126" s="107"/>
      <c r="B126" s="187"/>
      <c r="C126" s="187">
        <f>C124+C125</f>
        <v>65</v>
      </c>
      <c r="D126" s="188"/>
      <c r="E126" s="228"/>
      <c r="F126" s="23"/>
      <c r="G126" s="108">
        <v>31</v>
      </c>
      <c r="H126" s="109" t="str">
        <f ca="1">IF(OR(TRIM(D124)="-",TRIM(D125)="-"), IF(TRIM(D124)="-",D125,D124),IF(AND(E124="",E125="")," ",IF(N(E124)=N(E125)," ",IF(N(E124)&gt;N(E125),D124,D125))))</f>
        <v>33 HRODE KRUMSÍN - Ptáčková Eliška</v>
      </c>
      <c r="I126" s="155"/>
      <c r="J126" s="195"/>
      <c r="K126" s="193"/>
      <c r="L126" s="186"/>
      <c r="M126" s="50"/>
      <c r="N126" s="181"/>
      <c r="O126" s="181"/>
      <c r="P126" s="181"/>
      <c r="Q126" s="181"/>
      <c r="R126" s="181"/>
      <c r="S126" s="181"/>
      <c r="T126" s="181"/>
      <c r="U126" s="181"/>
      <c r="V126" s="181"/>
      <c r="W126" s="190"/>
      <c r="X126" s="17"/>
      <c r="Y126" s="17"/>
      <c r="Z126" s="17"/>
      <c r="AA126" s="17"/>
      <c r="AB126" s="17"/>
      <c r="AC126" s="17"/>
      <c r="AD126" s="17"/>
      <c r="AE126" s="17"/>
      <c r="AF126" s="17"/>
      <c r="AG126" s="17"/>
      <c r="AH126" s="17"/>
      <c r="AI126" s="17"/>
      <c r="AJ126" s="17"/>
    </row>
    <row r="127" spans="1:36" ht="18.899999999999999" thickTop="1" thickBot="1">
      <c r="A127" s="104"/>
      <c r="B127" s="191"/>
      <c r="C127" s="192"/>
      <c r="D127" s="371" t="s">
        <v>447</v>
      </c>
      <c r="E127" s="374" t="str">
        <f ca="1">IF(OR(TRIM(D128)="-",TRIM(D129)="-"),"",VLOOKUP(MIN(C128,C129),Hřiště!$B$11:$E$42,4,0))</f>
        <v/>
      </c>
      <c r="F127" s="200"/>
      <c r="G127" s="110">
        <v>2</v>
      </c>
      <c r="H127" s="111" t="str">
        <f ca="1">IF(OR(TRIM(D128)="-",TRIM(D129)="-"), IF(TRIM(D128)="-",D129,D128),IF(AND(E128="",E129="")," ",IF(N(E128)=N(E129)," ",IF(N(E128)&gt;N(E129),D128,D129))))</f>
        <v>2 PC Sokol Lipník - Froňková Kateřina</v>
      </c>
      <c r="I127" s="156"/>
      <c r="J127" s="182"/>
      <c r="K127" s="181"/>
      <c r="L127" s="186"/>
      <c r="M127" s="181"/>
      <c r="N127" s="181"/>
      <c r="O127" s="181"/>
      <c r="P127" s="181"/>
      <c r="Q127" s="181"/>
      <c r="R127" s="181"/>
      <c r="S127" s="181"/>
      <c r="T127" s="181"/>
      <c r="U127" s="181"/>
      <c r="V127" s="181"/>
      <c r="W127" s="190"/>
      <c r="X127" s="17"/>
      <c r="Y127" s="17"/>
      <c r="Z127" s="17"/>
      <c r="AA127" s="17"/>
      <c r="AB127" s="17"/>
      <c r="AC127" s="17"/>
      <c r="AD127" s="17"/>
      <c r="AE127" s="17"/>
      <c r="AF127" s="17"/>
      <c r="AG127" s="17"/>
      <c r="AH127" s="17"/>
      <c r="AI127" s="17"/>
      <c r="AJ127" s="17"/>
    </row>
    <row r="128" spans="1:36" ht="18.45" thickTop="1" thickBot="1">
      <c r="A128" s="116" t="str">
        <f ca="1">VLOOKUP(C128,Postupy!$A$3:$C$66,3,0)</f>
        <v/>
      </c>
      <c r="B128" s="179"/>
      <c r="C128" s="108">
        <v>63</v>
      </c>
      <c r="D128" s="109" t="str">
        <f ca="1">VLOOKUP(C128,Postupy!$A$3:$B$66,2,0)</f>
        <v xml:space="preserve"> - </v>
      </c>
      <c r="E128" s="155"/>
      <c r="F128" s="205"/>
      <c r="G128" s="202"/>
      <c r="H128" s="216"/>
      <c r="I128" s="30"/>
      <c r="J128" s="181"/>
      <c r="K128" s="181"/>
      <c r="L128" s="217"/>
      <c r="M128" s="181"/>
      <c r="N128" s="181"/>
      <c r="O128" s="181"/>
      <c r="P128" s="181"/>
      <c r="Q128" s="181"/>
      <c r="R128" s="181"/>
      <c r="S128" s="181"/>
      <c r="T128" s="181"/>
      <c r="U128" s="181"/>
      <c r="V128" s="181"/>
      <c r="W128" s="190"/>
      <c r="X128" s="17"/>
      <c r="Y128" s="17"/>
      <c r="Z128" s="17"/>
      <c r="AA128" s="17"/>
      <c r="AB128" s="17"/>
      <c r="AC128" s="17"/>
      <c r="AD128" s="17"/>
      <c r="AE128" s="17"/>
      <c r="AF128" s="17"/>
      <c r="AG128" s="17"/>
      <c r="AH128" s="17"/>
      <c r="AI128" s="17"/>
      <c r="AJ128" s="17"/>
    </row>
    <row r="129" spans="1:36" ht="18.45" thickTop="1" thickBot="1">
      <c r="A129" s="116" t="str">
        <f ca="1">VLOOKUP(C129,Postupy!$A$3:$C$66,3,0)</f>
        <v>B1</v>
      </c>
      <c r="B129" s="179"/>
      <c r="C129" s="110">
        <v>2</v>
      </c>
      <c r="D129" s="111" t="str">
        <f ca="1">VLOOKUP(C129,Postupy!$A$3:$B$66,2,0)</f>
        <v>2 PC Sokol Lipník - Froňková Kateřina</v>
      </c>
      <c r="E129" s="156"/>
      <c r="F129" s="206"/>
      <c r="G129" s="181"/>
      <c r="H129" s="190"/>
      <c r="I129" s="181"/>
      <c r="J129" s="181"/>
      <c r="K129" s="181"/>
      <c r="L129" s="218"/>
      <c r="M129" s="181"/>
      <c r="N129" s="181"/>
      <c r="O129" s="181"/>
      <c r="P129" s="181"/>
      <c r="Q129" s="181"/>
      <c r="R129" s="181"/>
      <c r="S129" s="181"/>
      <c r="T129" s="181"/>
      <c r="U129" s="181"/>
      <c r="V129" s="181"/>
      <c r="W129" s="190"/>
      <c r="X129" s="17"/>
      <c r="Y129" s="17"/>
      <c r="Z129" s="17"/>
      <c r="AA129" s="17"/>
      <c r="AB129" s="17"/>
      <c r="AC129" s="17"/>
      <c r="AD129" s="17"/>
      <c r="AE129" s="17"/>
      <c r="AF129" s="17"/>
      <c r="AG129" s="17"/>
      <c r="AH129" s="17"/>
      <c r="AI129" s="17"/>
      <c r="AJ129" s="17"/>
    </row>
    <row r="130" spans="1:36" ht="12.45">
      <c r="A130" s="107"/>
      <c r="B130" s="22"/>
      <c r="C130" s="187">
        <f>C128+C129</f>
        <v>65</v>
      </c>
      <c r="D130" s="188"/>
      <c r="E130" s="23"/>
      <c r="F130" s="339">
        <f>C126+C130</f>
        <v>130</v>
      </c>
      <c r="G130" s="181"/>
      <c r="H130" s="181"/>
      <c r="I130" s="181"/>
      <c r="J130" s="181"/>
      <c r="K130" s="181"/>
      <c r="L130" s="181"/>
      <c r="M130" s="181"/>
      <c r="N130" s="181"/>
      <c r="O130" s="181"/>
      <c r="P130" s="181"/>
      <c r="Q130" s="181"/>
      <c r="R130" s="181"/>
      <c r="S130" s="181"/>
      <c r="T130" s="181"/>
      <c r="U130" s="181"/>
      <c r="V130" s="181"/>
      <c r="W130" s="190"/>
      <c r="X130" s="17"/>
      <c r="Y130" s="17"/>
      <c r="Z130" s="17"/>
      <c r="AA130" s="17"/>
      <c r="AB130" s="17"/>
      <c r="AC130" s="17"/>
      <c r="AD130" s="17"/>
      <c r="AE130" s="17"/>
      <c r="AF130" s="17"/>
      <c r="AG130" s="17"/>
      <c r="AH130" s="17"/>
      <c r="AI130" s="17"/>
      <c r="AJ130" s="17"/>
    </row>
    <row r="131" spans="1:36" ht="79.95" customHeight="1">
      <c r="A131" s="104"/>
      <c r="B131" s="22"/>
      <c r="C131" s="192"/>
      <c r="D131" s="188"/>
      <c r="E131" s="25"/>
      <c r="F131" s="196"/>
      <c r="G131" s="23"/>
      <c r="H131" s="181"/>
      <c r="I131" s="23"/>
      <c r="J131" s="181"/>
      <c r="K131" s="181"/>
      <c r="L131" s="181"/>
      <c r="M131" s="181"/>
      <c r="N131" s="181"/>
      <c r="O131" s="181"/>
      <c r="P131" s="181"/>
      <c r="Q131" s="181"/>
      <c r="R131" s="181"/>
      <c r="S131" s="181"/>
      <c r="T131" s="181"/>
      <c r="U131" s="181"/>
      <c r="V131" s="181"/>
      <c r="W131" s="190"/>
      <c r="X131" s="17"/>
      <c r="Y131" s="17"/>
      <c r="Z131" s="17"/>
      <c r="AA131" s="17"/>
      <c r="AB131" s="17"/>
      <c r="AC131" s="17"/>
      <c r="AD131" s="17"/>
      <c r="AE131" s="17"/>
      <c r="AF131" s="17"/>
      <c r="AG131" s="17"/>
      <c r="AH131" s="17"/>
      <c r="AI131" s="17"/>
      <c r="AJ131" s="17"/>
    </row>
    <row r="132" spans="1:36" ht="79.95" customHeight="1">
      <c r="A132" s="104"/>
      <c r="B132" s="22"/>
      <c r="C132" s="192"/>
      <c r="D132" s="188"/>
      <c r="E132" s="25"/>
      <c r="F132" s="196"/>
      <c r="G132" s="23"/>
      <c r="H132" s="181"/>
      <c r="I132" s="23"/>
      <c r="J132" s="181"/>
      <c r="K132" s="181"/>
      <c r="L132" s="181"/>
      <c r="M132" s="181"/>
      <c r="N132" s="181"/>
      <c r="O132" s="181"/>
      <c r="P132" s="181"/>
      <c r="Q132" s="181"/>
      <c r="R132" s="181"/>
      <c r="S132" s="181"/>
      <c r="T132" s="181"/>
      <c r="U132" s="181"/>
      <c r="V132" s="181"/>
      <c r="W132" s="190"/>
      <c r="X132" s="17"/>
      <c r="Y132" s="17"/>
      <c r="Z132" s="17"/>
      <c r="AA132" s="17"/>
      <c r="AB132" s="17"/>
      <c r="AC132" s="17"/>
      <c r="AD132" s="17"/>
      <c r="AE132" s="17"/>
      <c r="AF132" s="17"/>
      <c r="AG132" s="17"/>
      <c r="AH132" s="17"/>
      <c r="AI132" s="17"/>
      <c r="AJ132" s="17"/>
    </row>
    <row r="133" spans="1:36" ht="79.95" customHeight="1">
      <c r="A133" s="104"/>
      <c r="B133" s="22"/>
      <c r="C133" s="192"/>
      <c r="D133" s="188"/>
      <c r="E133" s="25"/>
      <c r="F133" s="196"/>
      <c r="G133" s="23"/>
      <c r="H133" s="181"/>
      <c r="I133" s="23"/>
      <c r="J133" s="181"/>
      <c r="K133" s="181"/>
      <c r="L133" s="181"/>
      <c r="M133" s="181"/>
      <c r="N133" s="181"/>
      <c r="O133" s="181"/>
      <c r="P133" s="181"/>
      <c r="Q133" s="181"/>
      <c r="R133" s="181"/>
      <c r="S133" s="181"/>
      <c r="T133" s="181"/>
      <c r="U133" s="181"/>
      <c r="V133" s="181"/>
      <c r="W133" s="190"/>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8">
    <pageSetUpPr fitToPage="1"/>
  </sheetPr>
  <dimension ref="A1:AH93"/>
  <sheetViews>
    <sheetView workbookViewId="0">
      <pane xSplit="4" ySplit="3" topLeftCell="E47" activePane="bottomRight" state="frozen"/>
      <selection pane="topRight"/>
      <selection pane="bottomLeft"/>
      <selection pane="bottomRight" activeCell="U58" sqref="U58"/>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row>
    <row r="2" spans="1:34" ht="32.5" customHeight="1" thickBot="1">
      <c r="A2" s="70"/>
      <c r="B2" s="331"/>
      <c r="C2" s="332">
        <v>32</v>
      </c>
      <c r="D2" s="157" t="s">
        <v>120</v>
      </c>
      <c r="E2" s="16"/>
      <c r="F2" s="16"/>
      <c r="G2" s="219">
        <v>16</v>
      </c>
      <c r="H2" s="157" t="s">
        <v>120</v>
      </c>
      <c r="I2" s="16"/>
      <c r="J2" s="17"/>
      <c r="K2" s="219">
        <v>8</v>
      </c>
      <c r="L2" s="157" t="s">
        <v>120</v>
      </c>
      <c r="M2" s="16"/>
      <c r="N2" s="17"/>
      <c r="O2" s="219">
        <v>4</v>
      </c>
      <c r="P2" s="157" t="s">
        <v>134</v>
      </c>
      <c r="Q2" s="17"/>
      <c r="R2" s="17"/>
      <c r="S2" s="219">
        <v>2</v>
      </c>
      <c r="T2" s="157" t="s">
        <v>132</v>
      </c>
      <c r="U2" s="17"/>
      <c r="V2" s="17"/>
      <c r="W2" s="219">
        <v>1</v>
      </c>
      <c r="X2" s="178" t="s">
        <v>133</v>
      </c>
      <c r="Y2" s="17"/>
      <c r="Z2" s="17"/>
      <c r="AA2" s="17"/>
      <c r="AB2" s="17"/>
      <c r="AC2" s="17"/>
      <c r="AD2" s="17"/>
      <c r="AE2" s="17"/>
      <c r="AF2" s="17"/>
      <c r="AG2" s="17"/>
    </row>
    <row r="3" spans="1:34" ht="28.95" customHeight="1" thickBot="1">
      <c r="A3" s="29"/>
      <c r="B3" s="33"/>
      <c r="C3" s="254"/>
      <c r="D3" s="371" t="s">
        <v>447</v>
      </c>
      <c r="E3" s="374" t="str">
        <f ca="1">IF(OR(TRIM(D4)="-",TRIM(D5)="-"),"",VLOOKUP(MIN(C4,C5),Hřiště!$B$11:$E$42,4,0))</f>
        <v/>
      </c>
      <c r="F3" s="80"/>
      <c r="G3" s="81"/>
      <c r="H3" s="125"/>
      <c r="I3" s="82"/>
      <c r="J3" s="80"/>
      <c r="K3" s="80"/>
      <c r="L3" s="125"/>
      <c r="M3" s="82"/>
      <c r="N3" s="80"/>
      <c r="O3" s="80"/>
      <c r="P3" s="125"/>
      <c r="Q3" s="82"/>
      <c r="R3" s="80"/>
      <c r="S3" s="80"/>
      <c r="T3" s="125"/>
      <c r="U3" s="82"/>
      <c r="V3" s="80"/>
      <c r="W3" s="80"/>
      <c r="X3" s="86"/>
      <c r="Y3" s="82"/>
      <c r="Z3" s="80"/>
      <c r="AA3" s="80"/>
      <c r="AB3" s="82"/>
      <c r="AC3" s="82"/>
      <c r="AD3" s="80"/>
      <c r="AE3" s="80"/>
      <c r="AF3" s="80"/>
      <c r="AG3" s="80"/>
    </row>
    <row r="4" spans="1:34" ht="18" thickBot="1">
      <c r="A4" s="116" t="str">
        <f ca="1">VLOOKUP(C4,Postupy!$A$3:$C$34,3,0)</f>
        <v>A1</v>
      </c>
      <c r="B4" s="179"/>
      <c r="C4" s="108">
        <v>1</v>
      </c>
      <c r="D4" s="333" t="str">
        <f ca="1">VLOOKUP(C4,Postupy!$A$3:$BG$34,59,0)</f>
        <v>1 Carreau Brno - Michálek Tomáš</v>
      </c>
      <c r="E4" s="155">
        <v>1</v>
      </c>
      <c r="F4" s="180"/>
      <c r="G4" s="181"/>
      <c r="H4" s="182"/>
      <c r="I4" s="181"/>
      <c r="J4" s="181"/>
      <c r="K4" s="181"/>
      <c r="L4" s="181"/>
      <c r="M4" s="181"/>
      <c r="N4" s="181"/>
      <c r="O4" s="181"/>
      <c r="P4" s="181"/>
      <c r="Q4" s="181"/>
      <c r="R4" s="181"/>
      <c r="S4" s="181"/>
      <c r="T4" s="181"/>
      <c r="U4" s="181"/>
      <c r="V4" s="181"/>
      <c r="W4" s="181"/>
      <c r="X4" s="18"/>
      <c r="Y4" s="17"/>
      <c r="Z4" s="17"/>
      <c r="AA4" s="17"/>
      <c r="AB4" s="17"/>
      <c r="AC4" s="17"/>
      <c r="AD4" s="17"/>
      <c r="AE4" s="17"/>
      <c r="AF4" s="17"/>
      <c r="AG4" s="17"/>
    </row>
    <row r="5" spans="1:34" ht="18.899999999999999" thickTop="1" thickBot="1">
      <c r="A5" s="116" t="str">
        <f ca="1">VLOOKUP(C5,Postupy!$A$3:$C$34,3,0)</f>
        <v>B2</v>
      </c>
      <c r="B5" s="179"/>
      <c r="C5" s="110">
        <v>32</v>
      </c>
      <c r="D5" s="333" t="str">
        <f ca="1">VLOOKUP(C5,Postupy!$A$3:$BG$34,59,0)</f>
        <v>31 PC Mimo Done - Šídlová Lucie</v>
      </c>
      <c r="E5" s="156">
        <f ca="1">VLOOKUP(C5,Postupy!$A$3:$BH$34,60,0)</f>
        <v>0</v>
      </c>
      <c r="F5" s="183"/>
      <c r="G5" s="184"/>
      <c r="H5" s="371" t="s">
        <v>447</v>
      </c>
      <c r="I5" s="374" t="str">
        <f ca="1">IF(OR(TRIM(H6)="-",TRIM(H7)="-"),"",VLOOKUP(MIN(G6,G7),Hřiště!$B$11:$E$42,4,0))</f>
        <v/>
      </c>
      <c r="J5" s="181"/>
      <c r="K5" s="181"/>
      <c r="L5" s="181"/>
      <c r="M5" s="181"/>
      <c r="N5" s="181"/>
      <c r="O5" s="181"/>
      <c r="P5" s="186"/>
      <c r="Q5" s="181"/>
      <c r="R5" s="181"/>
      <c r="S5" s="181"/>
      <c r="T5" s="181"/>
      <c r="U5" s="181"/>
      <c r="V5" s="181"/>
      <c r="W5" s="181"/>
      <c r="X5" s="18"/>
      <c r="Y5" s="17"/>
      <c r="Z5" s="17"/>
      <c r="AA5" s="17"/>
      <c r="AB5" s="17"/>
      <c r="AC5" s="17"/>
      <c r="AD5" s="17"/>
      <c r="AE5" s="17"/>
      <c r="AF5" s="17"/>
      <c r="AG5" s="17"/>
    </row>
    <row r="6" spans="1:34" ht="18" thickBot="1">
      <c r="A6" s="107"/>
      <c r="B6" s="187"/>
      <c r="C6" s="187">
        <f>C4+C5</f>
        <v>33</v>
      </c>
      <c r="D6" s="188"/>
      <c r="E6" s="23"/>
      <c r="F6" s="189"/>
      <c r="G6" s="108">
        <v>1</v>
      </c>
      <c r="H6" s="109" t="str">
        <f ca="1">IF(OR(TRIM(D4)="-",TRIM(D5)="-"), IF(TRIM(D4)="-",D5,D4),IF(AND(E4="",E5="")," ",IF(N(E4)=N(E5)," ",IF(N(E4)&gt;N(E5),D4,D5))))</f>
        <v>1 Carreau Brno - Michálek Tomáš</v>
      </c>
      <c r="I6" s="155">
        <v>13</v>
      </c>
      <c r="J6" s="180"/>
      <c r="K6" s="181"/>
      <c r="L6" s="186"/>
      <c r="M6" s="181"/>
      <c r="N6" s="181"/>
      <c r="O6" s="181"/>
      <c r="P6" s="186"/>
      <c r="Q6" s="181"/>
      <c r="R6" s="181"/>
      <c r="S6" s="181"/>
      <c r="T6" s="181"/>
      <c r="U6" s="181"/>
      <c r="V6" s="181"/>
      <c r="W6" s="190"/>
      <c r="X6" s="17"/>
      <c r="Y6" s="17"/>
      <c r="Z6" s="17"/>
      <c r="AA6" s="17"/>
      <c r="AB6" s="17"/>
      <c r="AC6" s="17"/>
      <c r="AD6" s="17"/>
      <c r="AE6" s="17"/>
      <c r="AF6" s="17"/>
      <c r="AG6" s="17"/>
    </row>
    <row r="7" spans="1:34" ht="18.899999999999999" thickTop="1" thickBot="1">
      <c r="A7" s="104"/>
      <c r="B7" s="191"/>
      <c r="C7" s="192"/>
      <c r="D7" s="371" t="s">
        <v>447</v>
      </c>
      <c r="E7" s="374" t="str">
        <f ca="1">IF(OR(TRIM(D8)="-",TRIM(D9)="-"),"",VLOOKUP(MIN(C8,C9),Hřiště!$B$11:$E$42,4,0))</f>
        <v/>
      </c>
      <c r="F7" s="189"/>
      <c r="G7" s="110">
        <v>16</v>
      </c>
      <c r="H7" s="111" t="str">
        <f ca="1">IF(OR(TRIM(D8)="-",TRIM(D9)="-"), IF(TRIM(D8)="-",D9,D8),IF(AND(E8="",E9="")," ",IF(N(E8)=N(E9)," ",IF(N(E8)&gt;N(E9),D8,D9))))</f>
        <v>18 1. KPK Vrchlabí - Brázda Vladimír</v>
      </c>
      <c r="I7" s="156">
        <v>8</v>
      </c>
      <c r="J7" s="183"/>
      <c r="K7" s="193"/>
      <c r="L7" s="194"/>
      <c r="M7" s="50"/>
      <c r="N7" s="181"/>
      <c r="O7" s="181"/>
      <c r="P7" s="186"/>
      <c r="Q7" s="181"/>
      <c r="R7" s="181"/>
      <c r="S7" s="181"/>
      <c r="T7" s="181"/>
      <c r="U7" s="181"/>
      <c r="V7" s="181"/>
      <c r="W7" s="190"/>
      <c r="X7" s="17"/>
      <c r="Y7" s="17"/>
      <c r="Z7" s="17"/>
      <c r="AA7" s="17"/>
      <c r="AB7" s="17"/>
      <c r="AC7" s="17"/>
      <c r="AD7" s="17"/>
      <c r="AE7" s="17"/>
      <c r="AF7" s="17"/>
      <c r="AG7" s="17"/>
    </row>
    <row r="8" spans="1:34" ht="18" thickBot="1">
      <c r="A8" s="116" t="str">
        <f ca="1">VLOOKUP(C8,Postupy!$A$3:$C$34,3,0)</f>
        <v>O2</v>
      </c>
      <c r="B8" s="179"/>
      <c r="C8" s="108">
        <v>17</v>
      </c>
      <c r="D8" s="333" t="str">
        <f ca="1">VLOOKUP(C8,Postupy!$A$3:$BG$34,59,0)</f>
        <v>18 1. KPK Vrchlabí - Brázda Vladimír</v>
      </c>
      <c r="E8" s="155">
        <v>13</v>
      </c>
      <c r="F8" s="195"/>
      <c r="G8" s="196"/>
      <c r="H8" s="197"/>
      <c r="I8" s="190"/>
      <c r="J8" s="190"/>
      <c r="K8" s="193"/>
      <c r="L8" s="194"/>
      <c r="M8" s="50"/>
      <c r="N8" s="181"/>
      <c r="O8" s="181"/>
      <c r="P8" s="186"/>
      <c r="Q8" s="181"/>
      <c r="R8" s="181"/>
      <c r="S8" s="181"/>
      <c r="T8" s="181"/>
      <c r="U8" s="181"/>
      <c r="V8" s="181"/>
      <c r="W8" s="190"/>
      <c r="X8" s="17"/>
      <c r="Y8" s="17"/>
      <c r="Z8" s="17"/>
      <c r="AA8" s="17"/>
      <c r="AB8" s="17"/>
      <c r="AC8" s="17"/>
      <c r="AD8" s="17"/>
      <c r="AE8" s="17"/>
      <c r="AF8" s="17"/>
      <c r="AG8" s="17"/>
    </row>
    <row r="9" spans="1:34" ht="18.899999999999999" thickTop="1" thickBot="1">
      <c r="A9" s="116" t="str">
        <f ca="1">VLOOKUP(C9,Postupy!$A$3:$C$34,3,0)</f>
        <v>P1</v>
      </c>
      <c r="B9" s="179"/>
      <c r="C9" s="110">
        <v>16</v>
      </c>
      <c r="D9" s="333" t="str">
        <f ca="1">VLOOKUP(C9,Postupy!$A$3:$BG$34,59,0)</f>
        <v>16 HAPEK - Bureš st. Pavel</v>
      </c>
      <c r="E9" s="156">
        <v>11</v>
      </c>
      <c r="F9" s="182"/>
      <c r="G9" s="181"/>
      <c r="H9" s="198"/>
      <c r="I9" s="190"/>
      <c r="J9" s="190"/>
      <c r="K9" s="184"/>
      <c r="L9" s="371" t="s">
        <v>447</v>
      </c>
      <c r="M9" s="374" t="str">
        <f ca="1">IF(OR(TRIM(L10)="-",TRIM(L11)="-"),"",VLOOKUP(MIN(K10,K11),Hřiště!$B$11:$E$42,4,0))</f>
        <v/>
      </c>
      <c r="N9" s="200"/>
      <c r="O9" s="181"/>
      <c r="P9" s="186"/>
      <c r="Q9" s="181"/>
      <c r="R9" s="181"/>
      <c r="S9" s="181"/>
      <c r="T9" s="181"/>
      <c r="U9" s="181"/>
      <c r="V9" s="181"/>
      <c r="W9" s="190"/>
      <c r="X9" s="17"/>
      <c r="Y9" s="17"/>
      <c r="Z9" s="17"/>
      <c r="AA9" s="17"/>
      <c r="AB9" s="17"/>
      <c r="AC9" s="17"/>
      <c r="AD9" s="17"/>
      <c r="AE9" s="17"/>
      <c r="AF9" s="17"/>
      <c r="AG9" s="17"/>
    </row>
    <row r="10" spans="1:34" ht="18" thickBot="1">
      <c r="A10" s="107"/>
      <c r="B10" s="187"/>
      <c r="C10" s="187">
        <f>C8+C9</f>
        <v>33</v>
      </c>
      <c r="D10" s="188"/>
      <c r="E10" s="23"/>
      <c r="F10" s="196">
        <f>C6+C10</f>
        <v>66</v>
      </c>
      <c r="G10" s="181"/>
      <c r="H10" s="201"/>
      <c r="I10" s="181"/>
      <c r="J10" s="181"/>
      <c r="K10" s="108">
        <v>1</v>
      </c>
      <c r="L10" s="109" t="str">
        <f ca="1">IF(OR(TRIM(H6)="-",TRIM(H7)="-"), IF(TRIM(H6)="-",H7,H6),IF(AND(I6="",I7="")," ",IF(N(I6)=N(I7)," ",IF(N(I6)&gt;N(I7),H6,H7))))</f>
        <v>1 Carreau Brno - Michálek Tomáš</v>
      </c>
      <c r="M10" s="155">
        <v>1</v>
      </c>
      <c r="N10" s="180"/>
      <c r="O10" s="50"/>
      <c r="P10" s="194"/>
      <c r="Q10" s="50"/>
      <c r="R10" s="181"/>
      <c r="S10" s="181"/>
      <c r="T10" s="181"/>
      <c r="U10" s="181"/>
      <c r="V10" s="181"/>
      <c r="W10" s="190"/>
      <c r="X10" s="17"/>
      <c r="Y10" s="17"/>
      <c r="Z10" s="17"/>
      <c r="AA10" s="17"/>
      <c r="AB10" s="17"/>
      <c r="AC10" s="17"/>
      <c r="AD10" s="16"/>
      <c r="AE10" s="17"/>
      <c r="AF10" s="17"/>
      <c r="AG10" s="17"/>
      <c r="AH10" s="18"/>
    </row>
    <row r="11" spans="1:34" ht="18.899999999999999" thickTop="1" thickBot="1">
      <c r="A11" s="104"/>
      <c r="B11" s="191"/>
      <c r="C11" s="192"/>
      <c r="D11" s="371" t="s">
        <v>447</v>
      </c>
      <c r="E11" s="374" t="str">
        <f ca="1">IF(OR(TRIM(D12)="-",TRIM(D13)="-"),"",VLOOKUP(MIN(C12,C13),Hřiště!$B$11:$E$42,4,0))</f>
        <v/>
      </c>
      <c r="F11" s="181"/>
      <c r="G11" s="181"/>
      <c r="H11" s="201"/>
      <c r="I11" s="181"/>
      <c r="J11" s="181"/>
      <c r="K11" s="110">
        <v>8</v>
      </c>
      <c r="L11" s="111" t="str">
        <f ca="1">IF(OR(TRIM(H14)="-",TRIM(H15)="-"), IF(TRIM(H14)="-",H15,H14),IF(AND(I14="",I15="")," ",IF(N(I14)=N(I15)," ",IF(N(I14)&gt;N(I15),H14,H15))))</f>
        <v>7 HRODE KRUMSÍN - Motl Bohuslav</v>
      </c>
      <c r="M11" s="156">
        <f ca="1">VLOOKUP(K11,Postupy!$A$3:$BL$10,64,0)</f>
        <v>0</v>
      </c>
      <c r="N11" s="183"/>
      <c r="O11" s="193"/>
      <c r="P11" s="194"/>
      <c r="Q11" s="50"/>
      <c r="R11" s="181"/>
      <c r="S11" s="181"/>
      <c r="T11" s="181"/>
      <c r="U11" s="181"/>
      <c r="V11" s="181"/>
      <c r="W11" s="190"/>
      <c r="X11" s="17"/>
      <c r="Y11" s="17"/>
      <c r="Z11" s="17"/>
      <c r="AA11" s="17"/>
      <c r="AB11" s="17"/>
      <c r="AC11" s="17"/>
      <c r="AD11" s="16"/>
      <c r="AE11" s="17"/>
      <c r="AF11" s="17"/>
      <c r="AG11" s="17"/>
      <c r="AH11" s="17"/>
    </row>
    <row r="12" spans="1:34" ht="18.45" thickTop="1" thickBot="1">
      <c r="A12" s="116" t="str">
        <f ca="1">VLOOKUP(C12,Postupy!$A$3:$C$34,3,0)</f>
        <v>I1</v>
      </c>
      <c r="B12" s="179"/>
      <c r="C12" s="108">
        <v>9</v>
      </c>
      <c r="D12" s="333" t="str">
        <f ca="1">VLOOKUP(C12,Postupy!$A$3:$BG$34,59,0)</f>
        <v>41 PC Sokol PP Hr. Králové - Melgr Jan</v>
      </c>
      <c r="E12" s="155">
        <v>1</v>
      </c>
      <c r="F12" s="184"/>
      <c r="G12" s="181"/>
      <c r="H12" s="198"/>
      <c r="I12" s="190"/>
      <c r="J12" s="190"/>
      <c r="K12" s="202"/>
      <c r="L12" s="203"/>
      <c r="M12" s="30"/>
      <c r="N12" s="181"/>
      <c r="O12" s="193"/>
      <c r="P12" s="194"/>
      <c r="Q12" s="50"/>
      <c r="R12" s="181"/>
      <c r="S12" s="181"/>
      <c r="T12" s="181"/>
      <c r="U12" s="181"/>
      <c r="V12" s="181"/>
      <c r="W12" s="190"/>
      <c r="X12" s="17"/>
      <c r="Y12" s="17"/>
      <c r="Z12" s="17"/>
      <c r="AA12" s="17"/>
      <c r="AB12" s="17"/>
      <c r="AC12" s="17"/>
      <c r="AD12" s="16"/>
      <c r="AE12" s="17"/>
      <c r="AF12" s="17"/>
      <c r="AG12" s="17"/>
      <c r="AH12" s="17"/>
    </row>
    <row r="13" spans="1:34" ht="18.899999999999999" thickTop="1" thickBot="1">
      <c r="A13" s="116" t="str">
        <f ca="1">VLOOKUP(C13,Postupy!$A$3:$C$34,3,0)</f>
        <v>J2</v>
      </c>
      <c r="B13" s="179"/>
      <c r="C13" s="110">
        <v>24</v>
      </c>
      <c r="D13" s="333" t="str">
        <f ca="1">VLOOKUP(C13,Postupy!$A$3:$BG$34,59,0)</f>
        <v>42 SK Sahara Vědomice - Piller Tomáš</v>
      </c>
      <c r="E13" s="156">
        <f ca="1">VLOOKUP(C13,Postupy!$A$3:$BH$34,60,0)</f>
        <v>0</v>
      </c>
      <c r="F13" s="204" t="s">
        <v>119</v>
      </c>
      <c r="G13" s="184"/>
      <c r="H13" s="371" t="s">
        <v>447</v>
      </c>
      <c r="I13" s="374" t="str">
        <f ca="1">IF(OR(TRIM(H14)="-",TRIM(H15)="-"),"",VLOOKUP(MIN(G14,G15),Hřiště!$B$11:$E$42,4,0))</f>
        <v/>
      </c>
      <c r="J13" s="190"/>
      <c r="K13" s="193"/>
      <c r="L13" s="201"/>
      <c r="M13" s="50"/>
      <c r="N13" s="181"/>
      <c r="O13" s="193"/>
      <c r="P13" s="194"/>
      <c r="Q13" s="50"/>
      <c r="R13" s="181"/>
      <c r="S13" s="181"/>
      <c r="T13" s="181"/>
      <c r="U13" s="181"/>
      <c r="V13" s="181"/>
      <c r="W13" s="190"/>
      <c r="X13" s="17"/>
      <c r="Y13" s="17"/>
      <c r="Z13" s="17"/>
      <c r="AA13" s="17"/>
      <c r="AB13" s="17"/>
      <c r="AC13" s="17"/>
      <c r="AD13" s="16"/>
      <c r="AE13" s="17"/>
      <c r="AF13" s="17"/>
      <c r="AG13" s="17"/>
      <c r="AH13" s="17"/>
    </row>
    <row r="14" spans="1:34" ht="18" thickBot="1">
      <c r="A14" s="107"/>
      <c r="B14" s="187"/>
      <c r="C14" s="187">
        <f>C12+C13</f>
        <v>33</v>
      </c>
      <c r="D14" s="188"/>
      <c r="E14" s="23"/>
      <c r="F14" s="189"/>
      <c r="G14" s="108">
        <v>9</v>
      </c>
      <c r="H14" s="109" t="str">
        <f ca="1">IF(OR(TRIM(D12)="-",TRIM(D13)="-"), IF(TRIM(D12)="-",D13,D12),IF(AND(E12="",E13="")," ",IF(N(E12)=N(E13)," ",IF(N(E12)&gt;N(E13),D12,D13))))</f>
        <v>41 PC Sokol PP Hr. Králové - Melgr Jan</v>
      </c>
      <c r="I14" s="155">
        <f ca="1">VLOOKUP(G14,Postupy!$A$3:$BJ$18,62,0)</f>
        <v>0</v>
      </c>
      <c r="J14" s="195"/>
      <c r="K14" s="193"/>
      <c r="L14" s="201"/>
      <c r="M14" s="50"/>
      <c r="N14" s="181"/>
      <c r="O14" s="193"/>
      <c r="P14" s="194"/>
      <c r="Q14" s="50"/>
      <c r="R14" s="181"/>
      <c r="S14" s="181"/>
      <c r="T14" s="181"/>
      <c r="U14" s="181"/>
      <c r="V14" s="181"/>
      <c r="W14" s="190"/>
      <c r="X14" s="17"/>
      <c r="Y14" s="17"/>
      <c r="Z14" s="17"/>
      <c r="AA14" s="17"/>
      <c r="AB14" s="17"/>
      <c r="AC14" s="17"/>
      <c r="AD14" s="16"/>
      <c r="AE14" s="17"/>
      <c r="AF14" s="17"/>
      <c r="AG14" s="17"/>
      <c r="AH14" s="17"/>
    </row>
    <row r="15" spans="1:34" ht="18.899999999999999" thickTop="1" thickBot="1">
      <c r="A15" s="104"/>
      <c r="B15" s="191"/>
      <c r="C15" s="192"/>
      <c r="D15" s="371" t="s">
        <v>447</v>
      </c>
      <c r="E15" s="374" t="str">
        <f ca="1">IF(OR(TRIM(D16)="-",TRIM(D17)="-"),"",VLOOKUP(MIN(C16,C17),Hřiště!$B$11:$E$42,4,0))</f>
        <v/>
      </c>
      <c r="F15" s="200"/>
      <c r="G15" s="110">
        <v>8</v>
      </c>
      <c r="H15" s="111" t="str">
        <f ca="1">IF(OR(TRIM(D16)="-",TRIM(D17)="-"), IF(TRIM(D16)="-",D17,D16),IF(AND(E16="",E17="")," ",IF(N(E16)=N(E17)," ",IF(N(E16)&gt;N(E17),D16,D17))))</f>
        <v>7 HRODE KRUMSÍN - Motl Bohuslav</v>
      </c>
      <c r="I15" s="156">
        <v>1</v>
      </c>
      <c r="J15" s="182"/>
      <c r="K15" s="181"/>
      <c r="L15" s="201"/>
      <c r="M15" s="181"/>
      <c r="N15" s="181"/>
      <c r="O15" s="193"/>
      <c r="P15" s="194"/>
      <c r="Q15" s="50"/>
      <c r="R15" s="181"/>
      <c r="S15" s="181"/>
      <c r="T15" s="181"/>
      <c r="U15" s="181"/>
      <c r="V15" s="181"/>
      <c r="W15" s="190"/>
      <c r="X15" s="17"/>
      <c r="Y15" s="17"/>
      <c r="Z15" s="17"/>
      <c r="AA15" s="17"/>
      <c r="AB15" s="17"/>
      <c r="AC15" s="17"/>
      <c r="AD15" s="17"/>
      <c r="AE15" s="17"/>
      <c r="AF15" s="17"/>
      <c r="AG15" s="17"/>
    </row>
    <row r="16" spans="1:34" ht="18.45" thickTop="1" thickBot="1">
      <c r="A16" s="116" t="str">
        <f ca="1">VLOOKUP(C16,Postupy!$A$3:$C$34,3,0)</f>
        <v>G2</v>
      </c>
      <c r="B16" s="179"/>
      <c r="C16" s="108">
        <v>25</v>
      </c>
      <c r="D16" s="333" t="str">
        <f ca="1">VLOOKUP(C16,Postupy!$A$3:$BG$34,59,0)</f>
        <v>7 HRODE KRUMSÍN - Motl Bohuslav</v>
      </c>
      <c r="E16" s="155">
        <v>1</v>
      </c>
      <c r="F16" s="205"/>
      <c r="G16" s="202"/>
      <c r="H16" s="203"/>
      <c r="I16" s="30"/>
      <c r="J16" s="181"/>
      <c r="K16" s="181"/>
      <c r="L16" s="198"/>
      <c r="M16" s="181"/>
      <c r="N16" s="181"/>
      <c r="O16" s="193"/>
      <c r="P16" s="194"/>
      <c r="Q16" s="50"/>
      <c r="R16" s="181"/>
      <c r="S16" s="181"/>
      <c r="T16" s="181"/>
      <c r="U16" s="181"/>
      <c r="V16" s="181"/>
      <c r="W16" s="190"/>
      <c r="X16" s="17"/>
      <c r="Y16" s="17"/>
      <c r="Z16" s="17"/>
      <c r="AA16" s="17"/>
      <c r="AB16" s="17"/>
      <c r="AC16" s="17"/>
      <c r="AD16" s="17"/>
      <c r="AE16" s="17"/>
      <c r="AF16" s="17"/>
      <c r="AG16" s="17"/>
    </row>
    <row r="17" spans="1:33" ht="18.899999999999999" thickTop="1" thickBot="1">
      <c r="A17" s="116" t="str">
        <f ca="1">VLOOKUP(C17,Postupy!$A$3:$C$34,3,0)</f>
        <v>H1</v>
      </c>
      <c r="B17" s="179"/>
      <c r="C17" s="110">
        <v>8</v>
      </c>
      <c r="D17" s="333" t="str">
        <f ca="1">VLOOKUP(C17,Postupy!$A$3:$BG$34,59,0)</f>
        <v>8 1. KPK Vrchlabí - Vedral Filip</v>
      </c>
      <c r="E17" s="156">
        <f ca="1">VLOOKUP(C17,Postupy!$A$3:$BH$34,60,0)</f>
        <v>0</v>
      </c>
      <c r="F17" s="206"/>
      <c r="G17" s="181"/>
      <c r="H17" s="198"/>
      <c r="I17" s="181"/>
      <c r="J17" s="181"/>
      <c r="K17" s="181"/>
      <c r="L17" s="207"/>
      <c r="M17" s="190"/>
      <c r="N17" s="190"/>
      <c r="O17" s="129"/>
      <c r="P17" s="371" t="s">
        <v>447</v>
      </c>
      <c r="Q17" s="374" t="str">
        <f ca="1">IF(OR(TRIM(P18)="-",TRIM(P19)="-"),"",VLOOKUP(MIN(O18,O19),Hřiště!$B$11:$E$42,4,0))</f>
        <v/>
      </c>
      <c r="S17" s="200"/>
      <c r="T17" s="200"/>
      <c r="U17" s="200"/>
      <c r="V17" s="181"/>
      <c r="W17" s="190"/>
      <c r="X17" s="17"/>
      <c r="Y17" s="17"/>
      <c r="Z17" s="17"/>
      <c r="AA17" s="17"/>
      <c r="AB17" s="17"/>
      <c r="AC17" s="17"/>
      <c r="AD17" s="17"/>
      <c r="AE17" s="17"/>
      <c r="AF17" s="17"/>
      <c r="AG17" s="17"/>
    </row>
    <row r="18" spans="1:33" ht="18" thickBot="1">
      <c r="A18" s="107"/>
      <c r="B18" s="187"/>
      <c r="C18" s="187">
        <f>C16+C17</f>
        <v>33</v>
      </c>
      <c r="D18" s="188"/>
      <c r="E18" s="23"/>
      <c r="F18" s="196">
        <f>C14+C18</f>
        <v>66</v>
      </c>
      <c r="G18" s="181"/>
      <c r="H18" s="201"/>
      <c r="I18" s="181"/>
      <c r="J18" s="181"/>
      <c r="K18" s="181"/>
      <c r="L18" s="208"/>
      <c r="M18" s="190"/>
      <c r="N18" s="190"/>
      <c r="O18" s="108">
        <v>1</v>
      </c>
      <c r="P18" s="109" t="str">
        <f ca="1">IF(OR(TRIM(L10)="-",TRIM(L11)="-"), IF(TRIM(L10)="-",L11,L10),IF(AND(M10="",M11="")," ",IF(N(M10)=N(M11)," ",IF(N(M10)&gt;N(M11),L10,L11))))</f>
        <v>1 Carreau Brno - Michálek Tomáš</v>
      </c>
      <c r="Q18" s="155">
        <v>1</v>
      </c>
      <c r="R18" s="190"/>
      <c r="S18" s="181"/>
      <c r="T18" s="181"/>
      <c r="U18" s="181"/>
      <c r="V18" s="181"/>
      <c r="W18" s="190"/>
      <c r="X18" s="17"/>
      <c r="Y18" s="17"/>
      <c r="Z18" s="17"/>
      <c r="AA18" s="17"/>
      <c r="AB18" s="17"/>
      <c r="AC18" s="17"/>
      <c r="AD18" s="17"/>
      <c r="AE18" s="17"/>
      <c r="AF18" s="17"/>
      <c r="AG18" s="17"/>
    </row>
    <row r="19" spans="1:33" ht="18.899999999999999" thickTop="1" thickBot="1">
      <c r="A19" s="104"/>
      <c r="B19" s="191"/>
      <c r="C19" s="192"/>
      <c r="D19" s="371" t="s">
        <v>447</v>
      </c>
      <c r="E19" s="374" t="str">
        <f ca="1">IF(OR(TRIM(D20)="-",TRIM(D21)="-"),"",VLOOKUP(MIN(C20,C21),Hřiště!$B$11:$E$42,4,0))</f>
        <v/>
      </c>
      <c r="F19" s="181"/>
      <c r="G19" s="181"/>
      <c r="H19" s="201"/>
      <c r="I19" s="181"/>
      <c r="J19" s="181"/>
      <c r="K19" s="181"/>
      <c r="L19" s="208"/>
      <c r="M19" s="190"/>
      <c r="N19" s="189"/>
      <c r="O19" s="110">
        <v>4</v>
      </c>
      <c r="P19" s="111" t="str">
        <f ca="1">IF(OR(TRIM(L26)="-",TRIM(L27)="-"),IF(TRIM(L26)="-",L27,L26),IF(AND(M26="",M27="")," ",IF(N(M26)=N(M27)," ",IF(N(M26)&gt;N(M27),L26,L27))))</f>
        <v>4 CdP Loděnice - Resl Jan</v>
      </c>
      <c r="Q19" s="156">
        <f ca="1">VLOOKUP(O19,Postupy!$A$3:$BN$6,66,0)</f>
        <v>0</v>
      </c>
      <c r="R19" s="183"/>
      <c r="S19" s="209"/>
      <c r="T19" s="181"/>
      <c r="U19" s="181"/>
      <c r="V19" s="181"/>
      <c r="W19" s="190"/>
      <c r="X19" s="17"/>
      <c r="Y19" s="17"/>
      <c r="Z19" s="17"/>
      <c r="AA19" s="17"/>
      <c r="AB19" s="17"/>
      <c r="AC19" s="17"/>
      <c r="AD19" s="17"/>
      <c r="AE19" s="17"/>
      <c r="AF19" s="17"/>
      <c r="AG19" s="17"/>
    </row>
    <row r="20" spans="1:33" ht="18.45" thickTop="1" thickBot="1">
      <c r="A20" s="116" t="str">
        <f ca="1">VLOOKUP(C20,Postupy!$A$3:$C$34,3,0)</f>
        <v>E1</v>
      </c>
      <c r="B20" s="179"/>
      <c r="C20" s="108">
        <v>5</v>
      </c>
      <c r="D20" s="333" t="str">
        <f ca="1">VLOOKUP(C20,Postupy!$A$3:$BG$34,59,0)</f>
        <v>5 TOP - ORLOVÁ - Bačo David</v>
      </c>
      <c r="E20" s="155">
        <v>13</v>
      </c>
      <c r="F20" s="184"/>
      <c r="G20" s="181"/>
      <c r="H20" s="198"/>
      <c r="I20" s="181"/>
      <c r="J20" s="181"/>
      <c r="K20" s="181"/>
      <c r="L20" s="208"/>
      <c r="M20" s="190"/>
      <c r="N20" s="189"/>
      <c r="O20" s="202"/>
      <c r="P20" s="203"/>
      <c r="Q20" s="50"/>
      <c r="R20" s="190"/>
      <c r="S20" s="209"/>
      <c r="T20" s="185"/>
      <c r="U20" s="190"/>
      <c r="V20" s="181"/>
      <c r="W20" s="190"/>
      <c r="X20" s="17"/>
      <c r="Y20" s="17"/>
      <c r="Z20" s="17"/>
      <c r="AA20" s="17"/>
      <c r="AB20" s="17"/>
      <c r="AC20" s="16"/>
      <c r="AD20" s="17"/>
      <c r="AE20" s="17"/>
      <c r="AF20" s="17"/>
      <c r="AG20" s="17"/>
    </row>
    <row r="21" spans="1:33" ht="18.899999999999999" thickTop="1" thickBot="1">
      <c r="A21" s="116" t="str">
        <f ca="1">VLOOKUP(C21,Postupy!$A$3:$C$34,3,0)</f>
        <v>F2</v>
      </c>
      <c r="B21" s="179"/>
      <c r="C21" s="110">
        <v>28</v>
      </c>
      <c r="D21" s="333" t="str">
        <f ca="1">VLOOKUP(C21,Postupy!$A$3:$BG$34,59,0)</f>
        <v>27 1. KPK Vrchlabí - Kapeš Roman</v>
      </c>
      <c r="E21" s="156">
        <v>12</v>
      </c>
      <c r="F21" s="210"/>
      <c r="G21" s="184"/>
      <c r="H21" s="371" t="s">
        <v>447</v>
      </c>
      <c r="I21" s="374" t="str">
        <f ca="1">IF(OR(TRIM(H22)="-",TRIM(H23)="-"),"",VLOOKUP(MIN(G22,G23),Hřiště!$B$11:$E$42,4,0))</f>
        <v/>
      </c>
      <c r="J21" s="181"/>
      <c r="K21" s="181"/>
      <c r="L21" s="208"/>
      <c r="M21" s="190"/>
      <c r="N21" s="189"/>
      <c r="O21" s="50"/>
      <c r="P21" s="201"/>
      <c r="Q21" s="190"/>
      <c r="R21" s="190"/>
      <c r="S21" s="209"/>
      <c r="T21" s="185"/>
      <c r="U21" s="190"/>
      <c r="V21" s="181"/>
      <c r="W21" s="190"/>
      <c r="X21" s="17"/>
      <c r="Y21" s="17"/>
      <c r="Z21" s="17"/>
      <c r="AA21" s="17"/>
      <c r="AB21" s="17"/>
      <c r="AC21" s="16"/>
      <c r="AD21" s="17"/>
      <c r="AE21" s="17"/>
      <c r="AF21" s="17"/>
      <c r="AG21" s="17"/>
    </row>
    <row r="22" spans="1:33" ht="18.45" thickTop="1" thickBot="1">
      <c r="A22" s="107"/>
      <c r="B22" s="187"/>
      <c r="C22" s="187">
        <f>C20+C21</f>
        <v>33</v>
      </c>
      <c r="D22" s="188"/>
      <c r="E22" s="23"/>
      <c r="F22" s="189"/>
      <c r="G22" s="108">
        <v>5</v>
      </c>
      <c r="H22" s="109" t="str">
        <f ca="1">IF(OR(TRIM(D20)="-",TRIM(D21)="-"), IF(TRIM(D20)="-",D21,D20),IF(AND(E20="",E21="")," ",IF(N(E20)=N(E21)," ",IF(N(E20)&gt;N(E21),D20,D21))))</f>
        <v>5 TOP - ORLOVÁ - Bačo David</v>
      </c>
      <c r="I22" s="155">
        <v>1</v>
      </c>
      <c r="J22" s="180"/>
      <c r="K22" s="181"/>
      <c r="L22" s="208"/>
      <c r="M22" s="190"/>
      <c r="N22" s="189"/>
      <c r="O22" s="50"/>
      <c r="P22" s="201"/>
      <c r="Q22" s="190"/>
      <c r="R22" s="190"/>
      <c r="S22" s="209"/>
      <c r="T22" s="185"/>
      <c r="U22" s="190"/>
      <c r="V22" s="181"/>
      <c r="W22" s="190"/>
      <c r="X22" s="17"/>
      <c r="Y22" s="17"/>
      <c r="Z22" s="17"/>
      <c r="AA22" s="17"/>
      <c r="AB22" s="17"/>
      <c r="AC22" s="16"/>
      <c r="AD22" s="17"/>
      <c r="AE22" s="17"/>
      <c r="AF22" s="17"/>
      <c r="AG22" s="17"/>
    </row>
    <row r="23" spans="1:33" ht="18.899999999999999" thickTop="1" thickBot="1">
      <c r="A23" s="104"/>
      <c r="B23" s="191"/>
      <c r="C23" s="192"/>
      <c r="D23" s="371" t="s">
        <v>447</v>
      </c>
      <c r="E23" s="374" t="str">
        <f ca="1">IF(OR(TRIM(D24)="-",TRIM(D25)="-"),"",VLOOKUP(MIN(C24,C25),Hřiště!$B$11:$E$42,4,0))</f>
        <v/>
      </c>
      <c r="F23" s="189"/>
      <c r="G23" s="110">
        <v>12</v>
      </c>
      <c r="H23" s="111" t="str">
        <f ca="1">IF(OR(TRIM(D24)="-",TRIM(D25)="-"), IF(TRIM(D24)="-",D25,D24),IF(AND(E24="",E25="")," ",IF(N(E24)=N(E25)," ",IF(N(E24)&gt;N(E25),D24,D25))))</f>
        <v>22 SK Sahara Vědomice - Sekerešová Jindřiška</v>
      </c>
      <c r="I23" s="156">
        <f ca="1">VLOOKUP(G23,Postupy!$A$3:$BJ$18,62,0)</f>
        <v>0</v>
      </c>
      <c r="J23" s="183"/>
      <c r="K23" s="193"/>
      <c r="L23" s="211"/>
      <c r="M23" s="190"/>
      <c r="N23" s="189"/>
      <c r="O23" s="50"/>
      <c r="P23" s="198"/>
      <c r="Q23" s="190"/>
      <c r="R23" s="190"/>
      <c r="S23" s="209"/>
      <c r="T23" s="185"/>
      <c r="U23" s="190"/>
      <c r="V23" s="181"/>
      <c r="W23" s="190"/>
      <c r="X23" s="17"/>
      <c r="Y23" s="17"/>
      <c r="Z23" s="17"/>
      <c r="AA23" s="17"/>
      <c r="AB23" s="17"/>
      <c r="AC23" s="17"/>
      <c r="AD23" s="17"/>
      <c r="AE23" s="17"/>
      <c r="AF23" s="17"/>
      <c r="AG23" s="17"/>
    </row>
    <row r="24" spans="1:33" ht="18.45" thickTop="1" thickBot="1">
      <c r="A24" s="116" t="str">
        <f ca="1">VLOOKUP(C24,Postupy!$A$3:$C$34,3,0)</f>
        <v>K2</v>
      </c>
      <c r="B24" s="179"/>
      <c r="C24" s="108">
        <v>21</v>
      </c>
      <c r="D24" s="333" t="str">
        <f ca="1">VLOOKUP(C24,Postupy!$A$3:$BG$34,59,0)</f>
        <v>22 SK Sahara Vědomice - Sekerešová Jindřiška</v>
      </c>
      <c r="E24" s="155">
        <v>1</v>
      </c>
      <c r="F24" s="195"/>
      <c r="G24" s="196"/>
      <c r="H24" s="203"/>
      <c r="I24" s="279"/>
      <c r="J24" s="190"/>
      <c r="K24" s="193"/>
      <c r="L24" s="212"/>
      <c r="M24" s="190"/>
      <c r="N24" s="189"/>
      <c r="O24" s="50"/>
      <c r="P24" s="207"/>
      <c r="Q24" s="190"/>
      <c r="R24" s="190"/>
      <c r="S24" s="209"/>
      <c r="T24" s="185"/>
      <c r="U24" s="190"/>
      <c r="V24" s="181"/>
      <c r="W24" s="190"/>
      <c r="X24" s="17"/>
      <c r="Y24" s="17"/>
      <c r="Z24" s="17"/>
      <c r="AA24" s="17"/>
      <c r="AB24" s="17"/>
      <c r="AC24" s="17"/>
      <c r="AD24" s="17"/>
      <c r="AE24" s="17"/>
      <c r="AF24" s="17"/>
      <c r="AG24" s="17"/>
    </row>
    <row r="25" spans="1:33" ht="18.899999999999999" thickTop="1" thickBot="1">
      <c r="A25" s="116" t="str">
        <f ca="1">VLOOKUP(C25,Postupy!$A$3:$C$34,3,0)</f>
        <v>L1</v>
      </c>
      <c r="B25" s="179"/>
      <c r="C25" s="110">
        <v>12</v>
      </c>
      <c r="D25" s="333" t="str">
        <f ca="1">VLOOKUP(C25,Postupy!$A$3:$BG$34,59,0)</f>
        <v>12 Orel Řečkovice - Hanák Pavel</v>
      </c>
      <c r="E25" s="156">
        <f ca="1">VLOOKUP(C25,Postupy!$A$3:$BH$34,60,0)</f>
        <v>0</v>
      </c>
      <c r="F25" s="182"/>
      <c r="G25" s="181"/>
      <c r="H25" s="198"/>
      <c r="I25" s="190"/>
      <c r="J25" s="190"/>
      <c r="K25" s="184"/>
      <c r="L25" s="371" t="s">
        <v>447</v>
      </c>
      <c r="M25" s="374" t="str">
        <f ca="1">IF(OR(TRIM(L26)="-",TRIM(L27)="-"),"",VLOOKUP(MIN(K26,K27),Hřiště!$B$11:$E$42,4,0))</f>
        <v/>
      </c>
      <c r="N25" s="213"/>
      <c r="O25" s="50"/>
      <c r="P25" s="211"/>
      <c r="Q25" s="190"/>
      <c r="R25" s="190"/>
      <c r="S25" s="209"/>
      <c r="T25" s="185"/>
      <c r="U25" s="190"/>
      <c r="V25" s="181"/>
      <c r="W25" s="190"/>
      <c r="X25" s="17"/>
      <c r="Y25" s="17"/>
      <c r="Z25" s="17"/>
      <c r="AA25" s="17"/>
      <c r="AB25" s="17"/>
      <c r="AC25" s="17"/>
      <c r="AD25" s="17"/>
      <c r="AE25" s="17"/>
      <c r="AF25" s="17"/>
      <c r="AG25" s="17"/>
    </row>
    <row r="26" spans="1:33" ht="18.45" thickTop="1" thickBot="1">
      <c r="A26" s="107"/>
      <c r="B26" s="187"/>
      <c r="C26" s="187">
        <f>C24+C25</f>
        <v>33</v>
      </c>
      <c r="D26" s="188"/>
      <c r="E26" s="23"/>
      <c r="F26" s="196">
        <f>C22+C26</f>
        <v>66</v>
      </c>
      <c r="G26" s="181"/>
      <c r="H26" s="201"/>
      <c r="I26" s="181"/>
      <c r="J26" s="181"/>
      <c r="K26" s="108">
        <v>5</v>
      </c>
      <c r="L26" s="109" t="str">
        <f ca="1">IF(OR(TRIM(H22)="-",TRIM(H23)="-"), IF(TRIM(H22)="-",H23,H22),IF(AND(I22="",I23="")," ",IF(N(I22)=N(I23)," ",IF(N(I22)&gt;N(I23),H22,H23))))</f>
        <v>5 TOP - ORLOVÁ - Bačo David</v>
      </c>
      <c r="M26" s="155">
        <v>2</v>
      </c>
      <c r="N26" s="195"/>
      <c r="O26" s="181"/>
      <c r="P26" s="208"/>
      <c r="Q26" s="190"/>
      <c r="R26" s="190"/>
      <c r="S26" s="209"/>
      <c r="T26" s="185"/>
      <c r="U26" s="181"/>
      <c r="V26" s="181"/>
      <c r="W26" s="181"/>
      <c r="X26" s="17"/>
      <c r="Y26" s="18"/>
      <c r="Z26" s="17"/>
      <c r="AA26" s="17"/>
      <c r="AB26" s="17"/>
      <c r="AC26" s="18"/>
      <c r="AD26" s="17"/>
      <c r="AE26" s="17"/>
      <c r="AF26" s="17"/>
      <c r="AG26" s="17"/>
    </row>
    <row r="27" spans="1:33" ht="18.899999999999999" thickTop="1" thickBot="1">
      <c r="A27" s="104"/>
      <c r="B27" s="191"/>
      <c r="C27" s="192"/>
      <c r="D27" s="371" t="s">
        <v>447</v>
      </c>
      <c r="E27" s="374" t="str">
        <f ca="1">IF(OR(TRIM(D28)="-",TRIM(D29)="-"),"",VLOOKUP(MIN(C28,C29),Hřiště!$B$11:$E$42,4,0))</f>
        <v/>
      </c>
      <c r="F27" s="181"/>
      <c r="G27" s="181"/>
      <c r="H27" s="201"/>
      <c r="I27" s="181"/>
      <c r="J27" s="181"/>
      <c r="K27" s="110">
        <v>4</v>
      </c>
      <c r="L27" s="111" t="str">
        <f ca="1">IF(OR(TRIM(H30)="-",TRIM(H31)="-"), IF(TRIM(H30)="-",H31,H30),IF(AND(I30="",I31="")," ",IF(N(I30)=N(I31)," ",IF(N(I30)&gt;N(I31),H30,H31))))</f>
        <v>4 CdP Loděnice - Resl Jan</v>
      </c>
      <c r="M27" s="156">
        <v>13</v>
      </c>
      <c r="N27" s="182"/>
      <c r="O27" s="181"/>
      <c r="P27" s="208"/>
      <c r="Q27" s="190"/>
      <c r="R27" s="190"/>
      <c r="S27" s="209"/>
      <c r="T27" s="185"/>
      <c r="U27" s="181"/>
      <c r="V27" s="181"/>
      <c r="W27" s="181"/>
      <c r="X27" s="17"/>
      <c r="Y27" s="18"/>
      <c r="Z27" s="17"/>
      <c r="AA27" s="17"/>
      <c r="AB27" s="17"/>
      <c r="AC27" s="18"/>
      <c r="AD27" s="17"/>
      <c r="AE27" s="17"/>
      <c r="AF27" s="17"/>
      <c r="AG27" s="17"/>
    </row>
    <row r="28" spans="1:33" ht="18.45" thickTop="1" thickBot="1">
      <c r="A28" s="116" t="str">
        <f ca="1">VLOOKUP(C28,Postupy!$A$3:$C$34,3,0)</f>
        <v>M1</v>
      </c>
      <c r="B28" s="179"/>
      <c r="C28" s="108">
        <v>13</v>
      </c>
      <c r="D28" s="333" t="str">
        <f ca="1">VLOOKUP(C28,Postupy!$A$3:$BG$34,59,0)</f>
        <v>20 Carreau Brno - Pellizon Boris Alfred</v>
      </c>
      <c r="E28" s="155">
        <v>12</v>
      </c>
      <c r="F28" s="184"/>
      <c r="G28" s="181"/>
      <c r="H28" s="198"/>
      <c r="I28" s="181"/>
      <c r="J28" s="190"/>
      <c r="K28" s="202"/>
      <c r="L28" s="203"/>
      <c r="M28" s="30"/>
      <c r="N28" s="181"/>
      <c r="O28" s="181"/>
      <c r="P28" s="208"/>
      <c r="Q28" s="190"/>
      <c r="R28" s="190"/>
      <c r="S28" s="209"/>
      <c r="T28" s="199"/>
      <c r="U28" s="190"/>
      <c r="V28" s="181"/>
      <c r="W28" s="190"/>
      <c r="X28" s="17"/>
      <c r="Y28" s="17"/>
      <c r="Z28" s="17"/>
      <c r="AA28" s="17"/>
      <c r="AB28" s="17"/>
      <c r="AC28" s="17"/>
      <c r="AD28" s="17"/>
      <c r="AE28" s="17"/>
      <c r="AF28" s="17"/>
      <c r="AG28" s="17"/>
    </row>
    <row r="29" spans="1:33" ht="18.899999999999999" thickTop="1" thickBot="1">
      <c r="A29" s="116" t="str">
        <f ca="1">VLOOKUP(C29,Postupy!$A$3:$C$34,3,0)</f>
        <v>N2</v>
      </c>
      <c r="B29" s="179"/>
      <c r="C29" s="110">
        <v>20</v>
      </c>
      <c r="D29" s="333" t="str">
        <f ca="1">VLOOKUP(C29,Postupy!$A$3:$BG$34,59,0)</f>
        <v>19 SKP Hranice VI-Valšovice - Gratcl Jiří</v>
      </c>
      <c r="E29" s="156">
        <v>13</v>
      </c>
      <c r="F29" s="204" t="s">
        <v>119</v>
      </c>
      <c r="G29" s="184"/>
      <c r="H29" s="371" t="s">
        <v>447</v>
      </c>
      <c r="I29" s="374" t="str">
        <f ca="1">IF(OR(TRIM(H30)="-",TRIM(H31)="-"),"",VLOOKUP(MIN(G30,G31),Hřiště!$B$11:$E$42,4,0))</f>
        <v/>
      </c>
      <c r="J29" s="190"/>
      <c r="K29" s="193"/>
      <c r="L29" s="201"/>
      <c r="M29" s="50"/>
      <c r="N29" s="181"/>
      <c r="O29" s="181"/>
      <c r="P29" s="208"/>
      <c r="Q29" s="190"/>
      <c r="R29" s="190"/>
      <c r="S29" s="209"/>
      <c r="T29" s="199"/>
      <c r="U29" s="190"/>
      <c r="V29" s="181"/>
      <c r="W29" s="190"/>
      <c r="X29" s="35"/>
      <c r="Y29" s="17"/>
      <c r="Z29" s="17"/>
      <c r="AA29" s="17"/>
      <c r="AB29" s="17"/>
      <c r="AC29" s="17"/>
      <c r="AD29" s="17"/>
      <c r="AE29" s="17"/>
      <c r="AF29" s="17"/>
      <c r="AG29" s="17"/>
    </row>
    <row r="30" spans="1:33" ht="18.45" thickTop="1" thickBot="1">
      <c r="A30" s="107"/>
      <c r="B30" s="187"/>
      <c r="C30" s="187">
        <f>C28+C29</f>
        <v>33</v>
      </c>
      <c r="D30" s="188"/>
      <c r="E30" s="23"/>
      <c r="F30" s="23"/>
      <c r="G30" s="108">
        <v>13</v>
      </c>
      <c r="H30" s="109" t="str">
        <f ca="1">IF(OR(TRIM(D28)="-",TRIM(D29)="-"), IF(TRIM(D28)="-",D29,D28),IF(AND(E28="",E29="")," ",IF(N(E28)=N(E29)," ",IF(N(E28)&gt;N(E29),D28,D29))))</f>
        <v>19 SKP Hranice VI-Valšovice - Gratcl Jiří</v>
      </c>
      <c r="I30" s="155">
        <v>4</v>
      </c>
      <c r="J30" s="195"/>
      <c r="K30" s="193"/>
      <c r="L30" s="201"/>
      <c r="M30" s="50"/>
      <c r="N30" s="181"/>
      <c r="O30" s="181"/>
      <c r="P30" s="208"/>
      <c r="Q30" s="190"/>
      <c r="R30" s="190"/>
      <c r="S30" s="209"/>
      <c r="T30" s="199"/>
      <c r="U30" s="190"/>
      <c r="V30" s="181"/>
      <c r="W30" s="190"/>
      <c r="X30" s="35"/>
      <c r="Y30" s="17"/>
      <c r="Z30" s="17"/>
      <c r="AA30" s="17"/>
      <c r="AB30" s="17"/>
      <c r="AC30" s="17"/>
      <c r="AD30" s="17"/>
      <c r="AE30" s="17"/>
      <c r="AF30" s="17"/>
      <c r="AG30" s="17"/>
    </row>
    <row r="31" spans="1:33" ht="18.899999999999999" thickTop="1" thickBot="1">
      <c r="A31" s="104"/>
      <c r="B31" s="191"/>
      <c r="C31" s="192"/>
      <c r="D31" s="371" t="s">
        <v>447</v>
      </c>
      <c r="E31" s="374" t="str">
        <f ca="1">IF(OR(TRIM(D32)="-",TRIM(D33)="-"),"",VLOOKUP(MIN(C32,C33),Hřiště!$B$11:$E$42,4,0))</f>
        <v/>
      </c>
      <c r="F31" s="200"/>
      <c r="G31" s="110">
        <v>4</v>
      </c>
      <c r="H31" s="111" t="str">
        <f ca="1">IF(OR(TRIM(D32)="-",TRIM(D33)="-"), IF(TRIM(D32)="-",D33,D32),IF(AND(E32="",E33="")," ",IF(N(E32)=N(E33)," ",IF(N(E32)&gt;N(E33),D32,D33))))</f>
        <v>4 CdP Loděnice - Resl Jan</v>
      </c>
      <c r="I31" s="156">
        <v>13</v>
      </c>
      <c r="J31" s="182"/>
      <c r="K31" s="181"/>
      <c r="L31" s="201"/>
      <c r="M31" s="181"/>
      <c r="N31" s="181"/>
      <c r="O31" s="181"/>
      <c r="P31" s="208"/>
      <c r="Q31" s="190"/>
      <c r="R31" s="190"/>
      <c r="S31" s="209"/>
      <c r="T31" s="199"/>
      <c r="U31" s="190"/>
      <c r="V31" s="181"/>
      <c r="W31" s="190"/>
      <c r="X31" s="35"/>
      <c r="Y31" s="17"/>
      <c r="Z31" s="17"/>
      <c r="AA31" s="17"/>
      <c r="AB31" s="17"/>
      <c r="AC31" s="17"/>
      <c r="AD31" s="17"/>
      <c r="AE31" s="17"/>
      <c r="AF31" s="17"/>
      <c r="AG31" s="17"/>
    </row>
    <row r="32" spans="1:33" ht="18.899999999999999" thickTop="1" thickBot="1">
      <c r="A32" s="116" t="str">
        <f ca="1">VLOOKUP(C32,Postupy!$A$3:$C$34,3,0)</f>
        <v>C2</v>
      </c>
      <c r="B32" s="179"/>
      <c r="C32" s="108">
        <v>29</v>
      </c>
      <c r="D32" s="333" t="str">
        <f ca="1">VLOOKUP(C32,Postupy!$A$3:$BG$34,59,0)</f>
        <v>35 PKT Velký Šanc - Horálek Jiří</v>
      </c>
      <c r="E32" s="155">
        <v>8</v>
      </c>
      <c r="F32" s="205"/>
      <c r="G32" s="202"/>
      <c r="H32" s="203"/>
      <c r="I32" s="30"/>
      <c r="J32" s="181"/>
      <c r="K32" s="181"/>
      <c r="L32" s="198"/>
      <c r="M32" s="181"/>
      <c r="N32" s="181"/>
      <c r="O32" s="181"/>
      <c r="P32" s="208"/>
      <c r="Q32" s="190"/>
      <c r="R32" s="190"/>
      <c r="S32" s="209"/>
      <c r="T32" s="244" t="s">
        <v>132</v>
      </c>
      <c r="U32" s="190"/>
      <c r="V32" s="181"/>
      <c r="W32" s="190"/>
      <c r="X32" s="35"/>
      <c r="Y32" s="17"/>
      <c r="Z32" s="17"/>
      <c r="AA32" s="17"/>
      <c r="AB32" s="17"/>
      <c r="AC32" s="17"/>
      <c r="AD32" s="17"/>
      <c r="AE32" s="17"/>
      <c r="AF32" s="17"/>
      <c r="AG32" s="17"/>
    </row>
    <row r="33" spans="1:33" ht="18.899999999999999" thickTop="1" thickBot="1">
      <c r="A33" s="116" t="str">
        <f ca="1">VLOOKUP(C33,Postupy!$A$3:$C$34,3,0)</f>
        <v>D1</v>
      </c>
      <c r="B33" s="179"/>
      <c r="C33" s="110">
        <v>4</v>
      </c>
      <c r="D33" s="333" t="str">
        <f ca="1">VLOOKUP(C33,Postupy!$A$3:$BG$34,59,0)</f>
        <v>4 CdP Loděnice - Resl Jan</v>
      </c>
      <c r="E33" s="156">
        <v>13</v>
      </c>
      <c r="F33" s="206"/>
      <c r="G33" s="181"/>
      <c r="H33" s="198"/>
      <c r="I33" s="181"/>
      <c r="J33" s="181"/>
      <c r="K33" s="181"/>
      <c r="L33" s="207"/>
      <c r="M33" s="181"/>
      <c r="N33" s="181"/>
      <c r="O33" s="181"/>
      <c r="P33" s="208"/>
      <c r="Q33" s="190"/>
      <c r="R33" s="190"/>
      <c r="S33" s="209"/>
      <c r="T33" s="371" t="s">
        <v>447</v>
      </c>
      <c r="U33" s="374" t="str">
        <f ca="1">IF(OR(TRIM(T34)="-",TRIM(T35)="-"),"",VLOOKUP(MIN(S34,S35),Hřiště!$B$11:$E$42,4,0))</f>
        <v/>
      </c>
      <c r="V33" s="181"/>
      <c r="W33" s="190"/>
      <c r="X33" s="280"/>
      <c r="Y33" s="17"/>
      <c r="Z33" s="17"/>
      <c r="AA33" s="17"/>
      <c r="AB33" s="17"/>
      <c r="AC33" s="17"/>
      <c r="AD33" s="17"/>
      <c r="AE33" s="17"/>
      <c r="AF33" s="17"/>
      <c r="AG33" s="17"/>
    </row>
    <row r="34" spans="1:33" ht="18.45" thickTop="1" thickBot="1">
      <c r="A34" s="221"/>
      <c r="B34" s="223"/>
      <c r="C34" s="223">
        <f>C32+C33</f>
        <v>33</v>
      </c>
      <c r="D34" s="224"/>
      <c r="E34" s="289"/>
      <c r="F34" s="225">
        <f>C30+C34</f>
        <v>66</v>
      </c>
      <c r="G34" s="226"/>
      <c r="H34" s="290"/>
      <c r="I34" s="226"/>
      <c r="J34" s="226"/>
      <c r="K34" s="226"/>
      <c r="L34" s="291"/>
      <c r="M34" s="226"/>
      <c r="N34" s="226"/>
      <c r="O34" s="226"/>
      <c r="P34" s="291"/>
      <c r="Q34" s="226"/>
      <c r="R34" s="292"/>
      <c r="S34" s="39">
        <v>1</v>
      </c>
      <c r="T34" s="109" t="str">
        <f ca="1">IF(OR(TRIM(P18)="-",TRIM(P19)="-"), IF(TRIM(P18)="-",P19,P18),IF(AND(Q18="",Q19="")," ",IF(N(Q18)=N(Q19)," ",IF(N(Q18)&gt;N(Q19),P18,P19))))</f>
        <v>1 Carreau Brno - Michálek Tomáš</v>
      </c>
      <c r="U34" s="155">
        <v>13</v>
      </c>
      <c r="V34" s="195"/>
      <c r="W34" s="39">
        <v>1</v>
      </c>
      <c r="X34" s="133" t="str">
        <f ca="1">IF(AND(U34="",U35="")," ",IF(N(U34)=N(U35)," ",IF(N(U34)&gt;N(U35),T34,T35)))</f>
        <v>1 Carreau Brno - Michálek Tomáš</v>
      </c>
      <c r="Y34" s="40">
        <v>1</v>
      </c>
      <c r="Z34" s="17"/>
      <c r="AA34" s="17"/>
      <c r="AB34" s="17"/>
      <c r="AC34" s="17"/>
      <c r="AD34" s="17"/>
      <c r="AE34" s="17"/>
      <c r="AF34" s="17"/>
      <c r="AG34" s="17"/>
    </row>
    <row r="35" spans="1:33" ht="18.899999999999999" thickTop="1" thickBot="1">
      <c r="A35" s="107"/>
      <c r="B35" s="191"/>
      <c r="C35" s="220"/>
      <c r="D35" s="371" t="s">
        <v>447</v>
      </c>
      <c r="E35" s="374" t="str">
        <f ca="1">IF(OR(TRIM(D36)="-",TRIM(D37)="-"),"",VLOOKUP(MIN(C36,C37),Hřiště!$B$11:$E$42,4,0))</f>
        <v/>
      </c>
      <c r="F35" s="30"/>
      <c r="G35" s="182"/>
      <c r="H35" s="287"/>
      <c r="I35" s="182"/>
      <c r="J35" s="182"/>
      <c r="K35" s="182"/>
      <c r="L35" s="288"/>
      <c r="M35" s="182"/>
      <c r="N35" s="182"/>
      <c r="O35" s="182"/>
      <c r="P35" s="288"/>
      <c r="Q35" s="182"/>
      <c r="R35" s="182"/>
      <c r="S35" s="110">
        <v>2</v>
      </c>
      <c r="T35" s="111" t="str">
        <f ca="1">IF(OR(TRIM(P50)="-",TRIM(P51)="-"), IF(TRIM(P50)="-",P51,P50),IF(AND(Q50="",Q51="")," ",IF(N(Q50)=N(Q51)," ",IF(N(Q50)&gt;N(Q51),P50,P51))))</f>
        <v>29 Carreau Brno - Grepl Jiří</v>
      </c>
      <c r="U35" s="156">
        <v>3</v>
      </c>
      <c r="V35" s="181"/>
      <c r="W35" s="39">
        <v>2</v>
      </c>
      <c r="X35" s="131" t="str">
        <f ca="1">IF(AND(U34="",U35="")," ",IF(N(U35)=N(U34)," ",IF(N(U35)&gt;N(U34),T34,T35)))</f>
        <v>29 Carreau Brno - Grepl Jiří</v>
      </c>
      <c r="Y35" s="130">
        <v>2</v>
      </c>
      <c r="Z35" s="17"/>
      <c r="AA35" s="17"/>
      <c r="AB35" s="17"/>
      <c r="AC35" s="17"/>
      <c r="AD35" s="17"/>
      <c r="AE35" s="17"/>
      <c r="AF35" s="17"/>
      <c r="AG35" s="17"/>
    </row>
    <row r="36" spans="1:33" ht="18.45" thickTop="1" thickBot="1">
      <c r="A36" s="116" t="str">
        <f ca="1">VLOOKUP(C36,Postupy!$A$3:$C$34,3,0)</f>
        <v>C1</v>
      </c>
      <c r="B36" s="179"/>
      <c r="C36" s="108">
        <v>3</v>
      </c>
      <c r="D36" s="333" t="str">
        <f ca="1">VLOOKUP(C36,Postupy!$A$3:$BG$34,59,0)</f>
        <v>3 PC Sokol Lipník - Konšel Jakub</v>
      </c>
      <c r="E36" s="155">
        <v>10</v>
      </c>
      <c r="F36" s="184"/>
      <c r="G36" s="181"/>
      <c r="H36" s="198"/>
      <c r="I36" s="181"/>
      <c r="J36" s="181"/>
      <c r="K36" s="181"/>
      <c r="L36" s="214"/>
      <c r="M36" s="181"/>
      <c r="N36" s="181"/>
      <c r="O36" s="181"/>
      <c r="P36" s="208"/>
      <c r="Q36" s="190"/>
      <c r="R36" s="190"/>
      <c r="S36" s="202"/>
      <c r="T36" s="215"/>
      <c r="U36" s="50"/>
      <c r="V36" s="181"/>
      <c r="W36" s="181"/>
      <c r="X36" s="35"/>
      <c r="Y36" s="18"/>
      <c r="Z36" s="17"/>
      <c r="AA36" s="17"/>
      <c r="AB36" s="17"/>
      <c r="AC36" s="17"/>
      <c r="AD36" s="17"/>
      <c r="AE36" s="17"/>
      <c r="AF36" s="17"/>
      <c r="AG36" s="17"/>
    </row>
    <row r="37" spans="1:33" ht="18.899999999999999" thickTop="1" thickBot="1">
      <c r="A37" s="116" t="str">
        <f ca="1">VLOOKUP(C37,Postupy!$A$3:$C$34,3,0)</f>
        <v>D2</v>
      </c>
      <c r="B37" s="179"/>
      <c r="C37" s="110">
        <v>30</v>
      </c>
      <c r="D37" s="333" t="str">
        <f ca="1">VLOOKUP(C37,Postupy!$A$3:$BG$34,59,0)</f>
        <v>29 Carreau Brno - Grepl Jiří</v>
      </c>
      <c r="E37" s="156">
        <v>13</v>
      </c>
      <c r="F37" s="210"/>
      <c r="G37" s="184"/>
      <c r="H37" s="371" t="s">
        <v>447</v>
      </c>
      <c r="I37" s="374" t="str">
        <f ca="1">IF(OR(TRIM(H38)="-",TRIM(H39)="-"),"",VLOOKUP(MIN(G38,G39),Hřiště!$B$11:$E$42,4,0))</f>
        <v/>
      </c>
      <c r="J37" s="181"/>
      <c r="K37" s="181"/>
      <c r="L37" s="214"/>
      <c r="M37" s="181"/>
      <c r="N37" s="181"/>
      <c r="O37" s="181"/>
      <c r="P37" s="208"/>
      <c r="Q37" s="190"/>
      <c r="R37" s="190"/>
      <c r="S37" s="193"/>
      <c r="T37" s="186"/>
      <c r="U37" s="50"/>
      <c r="V37" s="181"/>
      <c r="W37" s="181"/>
      <c r="X37" s="35"/>
      <c r="Y37" s="17"/>
      <c r="Z37" s="17"/>
      <c r="AA37" s="17"/>
      <c r="AB37" s="17"/>
      <c r="AC37" s="17"/>
      <c r="AD37" s="17"/>
      <c r="AE37" s="17"/>
      <c r="AF37" s="17"/>
      <c r="AG37" s="17"/>
    </row>
    <row r="38" spans="1:33" ht="18" thickBot="1">
      <c r="A38" s="107"/>
      <c r="B38" s="187"/>
      <c r="C38" s="187">
        <f>C36+C37</f>
        <v>33</v>
      </c>
      <c r="D38" s="188"/>
      <c r="E38" s="23"/>
      <c r="F38" s="189"/>
      <c r="G38" s="108">
        <v>3</v>
      </c>
      <c r="H38" s="109" t="str">
        <f ca="1">IF(OR(TRIM(D36)="-",TRIM(D37)="-"), IF(TRIM(D36)="-",D37,D36),IF(AND(E36="",E37="")," ",IF(N(E36)=N(E37)," ",IF(N(E36)&gt;N(E37),D36,D37))))</f>
        <v>29 Carreau Brno - Grepl Jiří</v>
      </c>
      <c r="I38" s="155">
        <v>13</v>
      </c>
      <c r="J38" s="180"/>
      <c r="K38" s="181"/>
      <c r="L38" s="214"/>
      <c r="M38" s="181"/>
      <c r="N38" s="181"/>
      <c r="O38" s="181"/>
      <c r="P38" s="208"/>
      <c r="Q38" s="190"/>
      <c r="R38" s="190"/>
      <c r="S38" s="193"/>
      <c r="T38" s="186"/>
      <c r="U38" s="50"/>
      <c r="V38" s="181"/>
      <c r="W38" s="181"/>
      <c r="X38" s="17"/>
      <c r="Y38" s="17"/>
      <c r="Z38" s="17"/>
      <c r="AA38" s="17"/>
      <c r="AB38" s="17"/>
      <c r="AC38" s="17"/>
      <c r="AD38" s="17"/>
      <c r="AE38" s="17"/>
      <c r="AF38" s="17"/>
      <c r="AG38" s="17"/>
    </row>
    <row r="39" spans="1:33" ht="18.899999999999999" thickTop="1" thickBot="1">
      <c r="A39" s="104"/>
      <c r="B39" s="191"/>
      <c r="C39" s="192"/>
      <c r="D39" s="371" t="s">
        <v>447</v>
      </c>
      <c r="E39" s="374" t="str">
        <f ca="1">IF(OR(TRIM(D40)="-",TRIM(D41)="-"),"",VLOOKUP(MIN(C40,C41),Hřiště!$B$11:$E$42,4,0))</f>
        <v/>
      </c>
      <c r="F39" s="189"/>
      <c r="G39" s="110">
        <v>14</v>
      </c>
      <c r="H39" s="111" t="str">
        <f ca="1">IF(OR(TRIM(D40)="-",TRIM(D41)="-"), IF(TRIM(D40)="-",D41,D40),IF(AND(E40="",E41="")," ",IF(N(E40)=N(E41)," ",IF(N(E40)&gt;N(E41),D40,D41))))</f>
        <v>51 UBU Únětice - Fuksa Petr</v>
      </c>
      <c r="I39" s="156">
        <v>12</v>
      </c>
      <c r="J39" s="183"/>
      <c r="K39" s="193"/>
      <c r="L39" s="188"/>
      <c r="M39" s="50"/>
      <c r="N39" s="181"/>
      <c r="O39" s="181"/>
      <c r="P39" s="208"/>
      <c r="Q39" s="190"/>
      <c r="R39" s="190"/>
      <c r="S39" s="193"/>
      <c r="T39" s="186"/>
      <c r="U39" s="50"/>
      <c r="V39" s="181"/>
      <c r="W39" s="181"/>
      <c r="X39" s="17"/>
      <c r="Y39" s="17"/>
      <c r="Z39" s="17"/>
      <c r="AA39" s="17"/>
      <c r="AB39" s="17"/>
      <c r="AC39" s="17"/>
      <c r="AD39" s="17"/>
      <c r="AE39" s="17"/>
      <c r="AF39" s="17"/>
      <c r="AG39" s="17"/>
    </row>
    <row r="40" spans="1:33" ht="18.45" thickTop="1" thickBot="1">
      <c r="A40" s="116" t="str">
        <f ca="1">VLOOKUP(C40,Postupy!$A$3:$C$34,3,0)</f>
        <v>M2</v>
      </c>
      <c r="B40" s="179"/>
      <c r="C40" s="108">
        <v>19</v>
      </c>
      <c r="D40" s="333" t="str">
        <f ca="1">VLOOKUP(C40,Postupy!$A$3:$BG$34,59,0)</f>
        <v>13 PK Polouvsí - Valošek Radim</v>
      </c>
      <c r="E40" s="155">
        <v>2</v>
      </c>
      <c r="F40" s="195"/>
      <c r="G40" s="202"/>
      <c r="H40" s="203"/>
      <c r="I40" s="30"/>
      <c r="J40" s="190"/>
      <c r="K40" s="193"/>
      <c r="L40" s="212"/>
      <c r="M40" s="50"/>
      <c r="N40" s="181"/>
      <c r="O40" s="181"/>
      <c r="P40" s="208"/>
      <c r="Q40" s="190"/>
      <c r="R40" s="190"/>
      <c r="S40" s="193"/>
      <c r="T40" s="181"/>
      <c r="U40" s="50"/>
      <c r="V40" s="181"/>
      <c r="W40" s="181"/>
      <c r="X40" s="17"/>
      <c r="Y40" s="17"/>
      <c r="Z40" s="17"/>
      <c r="AA40" s="17"/>
      <c r="AB40" s="17"/>
      <c r="AC40" s="17"/>
      <c r="AD40" s="17"/>
      <c r="AE40" s="17"/>
      <c r="AF40" s="17"/>
      <c r="AG40" s="17"/>
    </row>
    <row r="41" spans="1:33" ht="18.899999999999999" thickTop="1" thickBot="1">
      <c r="A41" s="116" t="str">
        <f ca="1">VLOOKUP(C41,Postupy!$A$3:$C$34,3,0)</f>
        <v>N1</v>
      </c>
      <c r="B41" s="179"/>
      <c r="C41" s="110">
        <v>14</v>
      </c>
      <c r="D41" s="333" t="str">
        <f ca="1">VLOOKUP(C41,Postupy!$A$3:$BG$34,59,0)</f>
        <v>51 UBU Únětice - Fuksa Petr</v>
      </c>
      <c r="E41" s="156">
        <v>13</v>
      </c>
      <c r="F41" s="182"/>
      <c r="G41" s="181"/>
      <c r="H41" s="198"/>
      <c r="I41" s="190"/>
      <c r="J41" s="190"/>
      <c r="K41" s="184"/>
      <c r="L41" s="371" t="s">
        <v>447</v>
      </c>
      <c r="M41" s="374" t="str">
        <f ca="1">IF(OR(TRIM(L42)="-",TRIM(L43)="-"),"",VLOOKUP(MIN(K42,K43),Hřiště!$B$11:$E$42,4,0))</f>
        <v/>
      </c>
      <c r="N41" s="200"/>
      <c r="O41" s="181"/>
      <c r="P41" s="208"/>
      <c r="Q41" s="190"/>
      <c r="R41" s="190"/>
      <c r="S41" s="193"/>
      <c r="T41" s="181"/>
      <c r="U41" s="50"/>
      <c r="V41" s="181"/>
      <c r="W41" s="181"/>
      <c r="X41" s="17"/>
      <c r="Y41" s="17"/>
      <c r="Z41" s="17"/>
      <c r="AA41" s="17"/>
      <c r="AB41" s="17"/>
      <c r="AC41" s="17"/>
      <c r="AD41" s="17"/>
      <c r="AE41" s="17"/>
      <c r="AF41" s="17"/>
      <c r="AG41" s="17"/>
    </row>
    <row r="42" spans="1:33" ht="18" thickBot="1">
      <c r="A42" s="107"/>
      <c r="B42" s="187"/>
      <c r="C42" s="187">
        <f>C40+C41</f>
        <v>33</v>
      </c>
      <c r="D42" s="188"/>
      <c r="E42" s="23"/>
      <c r="F42" s="196">
        <f>C38+C42</f>
        <v>66</v>
      </c>
      <c r="G42" s="181"/>
      <c r="H42" s="201"/>
      <c r="I42" s="181"/>
      <c r="J42" s="181"/>
      <c r="K42" s="108">
        <v>3</v>
      </c>
      <c r="L42" s="109" t="str">
        <f ca="1">IF(OR(TRIM(H38)="-",TRIM(H39)="-"), IF(TRIM(H38)="-",H39,H38),IF(AND(I38="",I39="")," ",IF(N(I38)=N(I39)," ",IF(N(I38)&gt;N(I39),H38,H39))))</f>
        <v>29 Carreau Brno - Grepl Jiří</v>
      </c>
      <c r="M42" s="155">
        <v>13</v>
      </c>
      <c r="N42" s="180"/>
      <c r="O42" s="50"/>
      <c r="P42" s="208"/>
      <c r="Q42" s="190"/>
      <c r="R42" s="190"/>
      <c r="S42" s="193"/>
      <c r="T42" s="50"/>
      <c r="U42" s="50"/>
      <c r="V42" s="181"/>
      <c r="W42" s="181"/>
      <c r="X42" s="17"/>
      <c r="Y42" s="17"/>
      <c r="Z42" s="17"/>
      <c r="AA42" s="17"/>
      <c r="AB42" s="18"/>
      <c r="AC42" s="17"/>
      <c r="AD42" s="17"/>
      <c r="AE42" s="17"/>
      <c r="AF42" s="17"/>
      <c r="AG42" s="17"/>
    </row>
    <row r="43" spans="1:33" ht="18.899999999999999" thickTop="1" thickBot="1">
      <c r="A43" s="104"/>
      <c r="B43" s="191"/>
      <c r="C43" s="192"/>
      <c r="D43" s="371" t="s">
        <v>447</v>
      </c>
      <c r="E43" s="374" t="str">
        <f ca="1">IF(OR(TRIM(D44)="-",TRIM(D45)="-"),"",VLOOKUP(MIN(C44,C45),Hřiště!$B$11:$E$42,4,0))</f>
        <v/>
      </c>
      <c r="F43" s="181"/>
      <c r="G43" s="181"/>
      <c r="H43" s="201"/>
      <c r="I43" s="181"/>
      <c r="J43" s="181"/>
      <c r="K43" s="110">
        <v>6</v>
      </c>
      <c r="L43" s="111" t="str">
        <f ca="1">IF(OR(TRIM(H46)="-",TRIM(H47)="-"), IF(TRIM(H46)="-",H47,H46),IF(AND(I46="",I47="")," ",IF(N(I46)=N(I47)," ",IF(N(I46)&gt;N(I47),H46,H47))))</f>
        <v>21 Carreau Brno - Ferlay Franck</v>
      </c>
      <c r="M43" s="156">
        <v>11</v>
      </c>
      <c r="N43" s="183"/>
      <c r="O43" s="193"/>
      <c r="P43" s="208"/>
      <c r="Q43" s="190"/>
      <c r="R43" s="190"/>
      <c r="S43" s="193"/>
      <c r="T43" s="50"/>
      <c r="U43" s="50"/>
      <c r="V43" s="181"/>
      <c r="W43" s="181"/>
      <c r="X43" s="17"/>
      <c r="Y43" s="18"/>
      <c r="Z43" s="17"/>
      <c r="AA43" s="17"/>
      <c r="AB43" s="18"/>
      <c r="AC43" s="17"/>
      <c r="AD43" s="17"/>
      <c r="AE43" s="18"/>
      <c r="AF43" s="18"/>
      <c r="AG43" s="18"/>
    </row>
    <row r="44" spans="1:33" ht="18.45" thickTop="1" thickBot="1">
      <c r="A44" s="116" t="str">
        <f ca="1">VLOOKUP(C44,Postupy!$A$3:$C$34,3,0)</f>
        <v>K1</v>
      </c>
      <c r="B44" s="179"/>
      <c r="C44" s="108">
        <v>11</v>
      </c>
      <c r="D44" s="333" t="str">
        <f ca="1">VLOOKUP(C44,Postupy!$A$3:$BG$34,59,0)</f>
        <v>11 PC Damníkov - Brandes Michael</v>
      </c>
      <c r="E44" s="155">
        <f ca="1">VLOOKUP(C44,Postupy!$A$3:$BH$34,60,0)</f>
        <v>0</v>
      </c>
      <c r="F44" s="184"/>
      <c r="G44" s="181"/>
      <c r="H44" s="198"/>
      <c r="I44" s="181"/>
      <c r="J44" s="190"/>
      <c r="K44" s="202"/>
      <c r="L44" s="203"/>
      <c r="M44" s="30"/>
      <c r="N44" s="181"/>
      <c r="O44" s="193"/>
      <c r="P44" s="208"/>
      <c r="Q44" s="190"/>
      <c r="R44" s="190"/>
      <c r="S44" s="193"/>
      <c r="T44" s="50"/>
      <c r="U44" s="50"/>
      <c r="V44" s="181"/>
      <c r="W44" s="181"/>
      <c r="X44" s="17"/>
      <c r="Y44" s="17"/>
      <c r="Z44" s="17"/>
      <c r="AA44" s="17"/>
      <c r="AB44" s="17"/>
      <c r="AC44" s="17"/>
      <c r="AD44" s="17"/>
      <c r="AE44" s="17"/>
      <c r="AF44" s="17"/>
      <c r="AG44" s="17"/>
    </row>
    <row r="45" spans="1:33" ht="18.899999999999999" thickTop="1" thickBot="1">
      <c r="A45" s="116" t="str">
        <f ca="1">VLOOKUP(C45,Postupy!$A$3:$C$34,3,0)</f>
        <v>L2</v>
      </c>
      <c r="B45" s="179"/>
      <c r="C45" s="110">
        <v>22</v>
      </c>
      <c r="D45" s="333" t="str">
        <f ca="1">VLOOKUP(C45,Postupy!$A$3:$BG$34,59,0)</f>
        <v>21 Carreau Brno - Ferlay Franck</v>
      </c>
      <c r="E45" s="156">
        <v>1</v>
      </c>
      <c r="F45" s="204" t="s">
        <v>119</v>
      </c>
      <c r="G45" s="184"/>
      <c r="H45" s="371" t="s">
        <v>447</v>
      </c>
      <c r="I45" s="374" t="str">
        <f ca="1">IF(OR(TRIM(H46)="-",TRIM(H47)="-"),"",VLOOKUP(MIN(G46,G47),Hřiště!$B$11:$E$42,4,0))</f>
        <v/>
      </c>
      <c r="J45" s="190"/>
      <c r="K45" s="193"/>
      <c r="L45" s="201"/>
      <c r="M45" s="50"/>
      <c r="N45" s="181"/>
      <c r="O45" s="193"/>
      <c r="P45" s="208"/>
      <c r="Q45" s="190"/>
      <c r="R45" s="190"/>
      <c r="S45" s="193"/>
      <c r="T45" s="50"/>
      <c r="U45" s="50"/>
      <c r="V45" s="181"/>
      <c r="W45" s="181"/>
      <c r="X45" s="17"/>
      <c r="Y45" s="17"/>
      <c r="Z45" s="17"/>
      <c r="AA45" s="17"/>
      <c r="AB45" s="17"/>
      <c r="AC45" s="17"/>
      <c r="AD45" s="17"/>
      <c r="AE45" s="17"/>
      <c r="AF45" s="17"/>
      <c r="AG45" s="17"/>
    </row>
    <row r="46" spans="1:33" ht="18" thickBot="1">
      <c r="A46" s="107"/>
      <c r="B46" s="187"/>
      <c r="C46" s="187">
        <f>C44+C45</f>
        <v>33</v>
      </c>
      <c r="D46" s="188"/>
      <c r="E46" s="23"/>
      <c r="F46" s="189"/>
      <c r="G46" s="108">
        <v>11</v>
      </c>
      <c r="H46" s="109" t="str">
        <f ca="1">IF(OR(TRIM(D44)="-",TRIM(D45)="-"), IF(TRIM(D44)="-",D45,D44),IF(AND(E44="",E45="")," ",IF(N(E44)=N(E45)," ",IF(N(E44)&gt;N(E45),D44,D45))))</f>
        <v>21 Carreau Brno - Ferlay Franck</v>
      </c>
      <c r="I46" s="155">
        <v>1</v>
      </c>
      <c r="J46" s="195"/>
      <c r="K46" s="193"/>
      <c r="L46" s="201"/>
      <c r="M46" s="50"/>
      <c r="N46" s="181"/>
      <c r="O46" s="193"/>
      <c r="P46" s="208"/>
      <c r="Q46" s="190"/>
      <c r="R46" s="190"/>
      <c r="S46" s="193"/>
      <c r="T46" s="50"/>
      <c r="U46" s="50"/>
      <c r="V46" s="181"/>
      <c r="W46" s="181"/>
      <c r="X46" s="17"/>
      <c r="Y46" s="17"/>
      <c r="Z46" s="17"/>
      <c r="AA46" s="17"/>
      <c r="AB46" s="17"/>
      <c r="AC46" s="17"/>
      <c r="AD46" s="17"/>
      <c r="AE46" s="17"/>
      <c r="AF46" s="17"/>
      <c r="AG46" s="17"/>
    </row>
    <row r="47" spans="1:33" ht="18.899999999999999" thickTop="1" thickBot="1">
      <c r="A47" s="104"/>
      <c r="B47" s="191"/>
      <c r="C47" s="192"/>
      <c r="D47" s="371" t="s">
        <v>447</v>
      </c>
      <c r="E47" s="374" t="str">
        <f ca="1">IF(OR(TRIM(D48)="-",TRIM(D49)="-"),"",VLOOKUP(MIN(C48,C49),Hřiště!$B$11:$E$42,4,0))</f>
        <v/>
      </c>
      <c r="F47" s="200"/>
      <c r="G47" s="110">
        <v>6</v>
      </c>
      <c r="H47" s="111" t="str">
        <f ca="1">IF(OR(TRIM(D48)="-",TRIM(D49)="-"), IF(TRIM(D48)="-",D49,D48),IF(AND(E48="",E49="")," ",IF(N(E48)=N(E49)," ",IF(N(E48)&gt;N(E49),D48,D49))))</f>
        <v>6 CdP Loděnice - Dlouhá Ivana</v>
      </c>
      <c r="I47" s="156">
        <f ca="1">VLOOKUP(G47,Postupy!$A$3:$BJ$18,62,0)</f>
        <v>0</v>
      </c>
      <c r="J47" s="182"/>
      <c r="K47" s="181"/>
      <c r="L47" s="201"/>
      <c r="M47" s="181"/>
      <c r="N47" s="181"/>
      <c r="O47" s="193"/>
      <c r="P47" s="208"/>
      <c r="Q47" s="190"/>
      <c r="R47" s="190"/>
      <c r="S47" s="193"/>
      <c r="T47" s="50"/>
      <c r="U47" s="50"/>
      <c r="V47" s="181"/>
      <c r="W47" s="181"/>
      <c r="X47" s="17"/>
      <c r="Y47" s="17"/>
      <c r="Z47" s="17"/>
      <c r="AA47" s="17"/>
      <c r="AB47" s="17"/>
      <c r="AC47" s="17"/>
      <c r="AD47" s="17"/>
      <c r="AE47" s="17"/>
      <c r="AF47" s="17"/>
      <c r="AG47" s="17"/>
    </row>
    <row r="48" spans="1:33" ht="18.45" thickTop="1" thickBot="1">
      <c r="A48" s="116" t="str">
        <f ca="1">VLOOKUP(C48,Postupy!$A$3:$C$34,3,0)</f>
        <v>E2</v>
      </c>
      <c r="B48" s="179"/>
      <c r="C48" s="108">
        <v>27</v>
      </c>
      <c r="D48" s="333" t="str">
        <f ca="1">VLOOKUP(C48,Postupy!$A$3:$BG$34,59,0)</f>
        <v>37 PC Sokol Lipník - Šplechtová Dana</v>
      </c>
      <c r="E48" s="155">
        <v>6</v>
      </c>
      <c r="F48" s="205"/>
      <c r="G48" s="202"/>
      <c r="H48" s="203"/>
      <c r="I48" s="30"/>
      <c r="J48" s="181"/>
      <c r="K48" s="181"/>
      <c r="L48" s="198"/>
      <c r="M48" s="181"/>
      <c r="N48" s="181"/>
      <c r="O48" s="193"/>
      <c r="P48" s="212"/>
      <c r="Q48" s="190"/>
      <c r="R48" s="190"/>
      <c r="S48" s="193"/>
      <c r="T48" s="50"/>
      <c r="U48" s="50"/>
      <c r="V48" s="181"/>
      <c r="W48" s="190"/>
      <c r="X48" s="17"/>
      <c r="Y48" s="17"/>
      <c r="Z48" s="17"/>
      <c r="AA48" s="17"/>
      <c r="AB48" s="17"/>
      <c r="AC48" s="17"/>
      <c r="AD48" s="17"/>
      <c r="AE48" s="17"/>
      <c r="AF48" s="17"/>
      <c r="AG48" s="17"/>
    </row>
    <row r="49" spans="1:33" ht="18.899999999999999" thickTop="1" thickBot="1">
      <c r="A49" s="116" t="str">
        <f ca="1">VLOOKUP(C49,Postupy!$A$3:$C$34,3,0)</f>
        <v>F1</v>
      </c>
      <c r="B49" s="179"/>
      <c r="C49" s="110">
        <v>6</v>
      </c>
      <c r="D49" s="333" t="str">
        <f ca="1">VLOOKUP(C49,Postupy!$A$3:$BG$34,59,0)</f>
        <v>6 CdP Loděnice - Dlouhá Ivana</v>
      </c>
      <c r="E49" s="156">
        <v>13</v>
      </c>
      <c r="F49" s="206"/>
      <c r="G49" s="181"/>
      <c r="H49" s="198"/>
      <c r="I49" s="181"/>
      <c r="J49" s="181"/>
      <c r="K49" s="181"/>
      <c r="L49" s="207"/>
      <c r="M49" s="190"/>
      <c r="N49" s="190"/>
      <c r="O49" s="193"/>
      <c r="P49" s="371" t="s">
        <v>447</v>
      </c>
      <c r="Q49" s="374" t="str">
        <f ca="1">IF(OR(TRIM(P50)="-",TRIM(P51)="-"),"",VLOOKUP(MIN(O50,O51),Hřiště!$B$11:$E$42,4,0))</f>
        <v/>
      </c>
      <c r="R49" s="190"/>
      <c r="S49" s="193"/>
      <c r="T49" s="50"/>
      <c r="U49" s="50"/>
      <c r="V49" s="181"/>
      <c r="W49" s="181"/>
      <c r="X49" s="17"/>
      <c r="Y49" s="17"/>
      <c r="Z49" s="17"/>
      <c r="AA49" s="17"/>
      <c r="AB49" s="17"/>
      <c r="AC49" s="17"/>
      <c r="AD49" s="17"/>
      <c r="AE49" s="17"/>
      <c r="AF49" s="17"/>
      <c r="AG49" s="17"/>
    </row>
    <row r="50" spans="1:33" ht="18" thickBot="1">
      <c r="A50" s="107"/>
      <c r="B50" s="187"/>
      <c r="C50" s="187">
        <f>C48+C49</f>
        <v>33</v>
      </c>
      <c r="D50" s="188"/>
      <c r="E50" s="23"/>
      <c r="F50" s="196">
        <f>C46+C50</f>
        <v>66</v>
      </c>
      <c r="G50" s="181"/>
      <c r="H50" s="201"/>
      <c r="I50" s="181"/>
      <c r="J50" s="181"/>
      <c r="K50" s="181"/>
      <c r="L50" s="208"/>
      <c r="M50" s="190"/>
      <c r="N50" s="190"/>
      <c r="O50" s="108">
        <v>3</v>
      </c>
      <c r="P50" s="109" t="str">
        <f ca="1">IF(OR(TRIM(L42)="-",TRIM(L43)="-"), IF(TRIM(L42)="-",L43,L42),IF(AND(M42="",M43="")," ",IF(N(M42)=N(M43)," ",IF(N(M42)&gt;N(M43),L42,L43))))</f>
        <v>29 Carreau Brno - Grepl Jiří</v>
      </c>
      <c r="Q50" s="155">
        <v>1</v>
      </c>
      <c r="R50" s="195"/>
      <c r="S50" s="193"/>
      <c r="T50" s="50"/>
      <c r="U50" s="50"/>
      <c r="V50" s="181"/>
      <c r="W50" s="181"/>
      <c r="X50" s="17"/>
      <c r="Y50" s="17"/>
      <c r="Z50" s="17"/>
      <c r="AA50" s="17"/>
      <c r="AB50" s="17"/>
      <c r="AC50" s="17"/>
      <c r="AD50" s="17"/>
      <c r="AE50" s="17"/>
      <c r="AF50" s="17"/>
      <c r="AG50" s="17"/>
    </row>
    <row r="51" spans="1:33" ht="18.899999999999999" thickTop="1" thickBot="1">
      <c r="A51" s="104"/>
      <c r="B51" s="191"/>
      <c r="C51" s="192"/>
      <c r="D51" s="371" t="s">
        <v>447</v>
      </c>
      <c r="E51" s="374" t="str">
        <f ca="1">IF(OR(TRIM(D52)="-",TRIM(D53)="-"),"",VLOOKUP(MIN(C52,C53),Hřiště!$B$11:$E$42,4,0))</f>
        <v/>
      </c>
      <c r="F51" s="181"/>
      <c r="G51" s="181"/>
      <c r="H51" s="201"/>
      <c r="I51" s="181"/>
      <c r="J51" s="181"/>
      <c r="K51" s="181"/>
      <c r="L51" s="208"/>
      <c r="M51" s="190"/>
      <c r="N51" s="190"/>
      <c r="O51" s="110">
        <v>2</v>
      </c>
      <c r="P51" s="111" t="str">
        <f ca="1">IF(OR(TRIM(L58)="-",TRIM(L59)="-"),IF(TRIM(L58)="-",L59,L58),IF(AND(M58="",M59="")," ",IF(N(M58)=N(M59)," ",IF(N(M58)&gt;N(M59),L58,L59))))</f>
        <v>26 HAVAJ CB - Koreš st. Jiří</v>
      </c>
      <c r="Q51" s="156">
        <f ca="1">VLOOKUP(O51,Postupy!$A$3:$BN$6,66,0)</f>
        <v>0</v>
      </c>
      <c r="R51" s="181"/>
      <c r="S51" s="181"/>
      <c r="T51" s="50"/>
      <c r="U51" s="181"/>
      <c r="V51" s="181"/>
      <c r="W51" s="190"/>
      <c r="X51" s="17"/>
      <c r="Y51" s="17"/>
      <c r="Z51" s="17"/>
      <c r="AA51" s="17"/>
      <c r="AB51" s="17"/>
      <c r="AC51" s="17"/>
      <c r="AD51" s="17"/>
      <c r="AE51" s="17"/>
      <c r="AF51" s="17"/>
      <c r="AG51" s="17"/>
    </row>
    <row r="52" spans="1:33" ht="18.45" thickTop="1" thickBot="1">
      <c r="A52" s="116" t="str">
        <f ca="1">VLOOKUP(C52,Postupy!$A$3:$C$34,3,0)</f>
        <v>G1</v>
      </c>
      <c r="B52" s="179"/>
      <c r="C52" s="108">
        <v>7</v>
      </c>
      <c r="D52" s="333" t="str">
        <f ca="1">VLOOKUP(C52,Postupy!$A$3:$BG$34,59,0)</f>
        <v>26 HAVAJ CB - Koreš st. Jiří</v>
      </c>
      <c r="E52" s="155">
        <v>13</v>
      </c>
      <c r="F52" s="184"/>
      <c r="G52" s="181"/>
      <c r="H52" s="198"/>
      <c r="I52" s="181"/>
      <c r="J52" s="181"/>
      <c r="K52" s="181"/>
      <c r="L52" s="208"/>
      <c r="M52" s="190"/>
      <c r="N52" s="189"/>
      <c r="O52" s="202"/>
      <c r="P52" s="215"/>
      <c r="Q52" s="50"/>
      <c r="R52" s="181"/>
      <c r="S52" s="181"/>
      <c r="U52" s="181"/>
      <c r="V52" s="181"/>
      <c r="W52" s="190"/>
      <c r="X52" s="17"/>
      <c r="Y52" s="17"/>
      <c r="Z52" s="17"/>
      <c r="AA52" s="17"/>
      <c r="AB52" s="17"/>
      <c r="AC52" s="17"/>
      <c r="AD52" s="17"/>
      <c r="AE52" s="17"/>
      <c r="AF52" s="17"/>
      <c r="AG52" s="17"/>
    </row>
    <row r="53" spans="1:33" ht="18.899999999999999" thickTop="1" thickBot="1">
      <c r="A53" s="116" t="str">
        <f ca="1">VLOOKUP(C53,Postupy!$A$3:$C$34,3,0)</f>
        <v>H2</v>
      </c>
      <c r="B53" s="179"/>
      <c r="C53" s="110">
        <v>26</v>
      </c>
      <c r="D53" s="333" t="str">
        <f ca="1">VLOOKUP(C53,Postupy!$A$3:$BG$34,59,0)</f>
        <v>40 PC Mimo Done - Šíma Jaroslav</v>
      </c>
      <c r="E53" s="156">
        <f ca="1">VLOOKUP(C53,Postupy!$A$3:$BH$34,60,0)</f>
        <v>0</v>
      </c>
      <c r="F53" s="210"/>
      <c r="G53" s="184"/>
      <c r="H53" s="371" t="s">
        <v>447</v>
      </c>
      <c r="I53" s="374" t="str">
        <f ca="1">IF(OR(TRIM(H54)="-",TRIM(H55)="-"),"",VLOOKUP(MIN(G54,G55),Hřiště!$B$11:$E$42,4,0))</f>
        <v/>
      </c>
      <c r="J53" s="181"/>
      <c r="K53" s="181"/>
      <c r="L53" s="208"/>
      <c r="M53" s="190"/>
      <c r="N53" s="189"/>
      <c r="O53" s="50"/>
      <c r="P53" s="186"/>
      <c r="Q53" s="50"/>
      <c r="R53" s="181"/>
      <c r="S53" s="181"/>
      <c r="T53" s="242" t="s">
        <v>135</v>
      </c>
      <c r="U53" s="181"/>
      <c r="V53" s="181"/>
      <c r="W53" s="181"/>
      <c r="X53" s="17"/>
      <c r="Y53" s="17"/>
      <c r="Z53" s="17"/>
      <c r="AA53" s="17"/>
      <c r="AB53" s="17"/>
      <c r="AC53" s="17"/>
      <c r="AD53" s="17"/>
      <c r="AE53" s="17"/>
      <c r="AF53" s="17"/>
      <c r="AG53" s="17"/>
    </row>
    <row r="54" spans="1:33" ht="18" thickBot="1">
      <c r="A54" s="107"/>
      <c r="B54" s="187"/>
      <c r="C54" s="187">
        <f>C52+C53</f>
        <v>33</v>
      </c>
      <c r="D54" s="188"/>
      <c r="E54" s="23"/>
      <c r="F54" s="189"/>
      <c r="G54" s="108">
        <v>7</v>
      </c>
      <c r="H54" s="109" t="str">
        <f ca="1">IF(OR(TRIM(D52)="-",TRIM(D53)="-"), IF(TRIM(D52)="-",D53,D52),IF(AND(E52="",E53="")," ",IF(N(E52)=N(E53)," ",IF(N(E52)&gt;N(E53),D52,D53))))</f>
        <v>26 HAVAJ CB - Koreš st. Jiří</v>
      </c>
      <c r="I54" s="155">
        <v>13</v>
      </c>
      <c r="J54" s="180"/>
      <c r="K54" s="181"/>
      <c r="L54" s="208"/>
      <c r="M54" s="190"/>
      <c r="N54" s="189"/>
      <c r="O54" s="50"/>
      <c r="P54" s="186"/>
      <c r="Q54" s="50"/>
      <c r="R54" s="181"/>
      <c r="S54" s="181"/>
      <c r="T54" s="243" t="s">
        <v>136</v>
      </c>
      <c r="U54" s="181"/>
      <c r="V54" s="181"/>
      <c r="W54" s="181"/>
      <c r="X54" s="17"/>
      <c r="Y54" s="17"/>
      <c r="Z54" s="17"/>
      <c r="AA54" s="17"/>
      <c r="AB54" s="17"/>
      <c r="AC54" s="17"/>
      <c r="AD54" s="17"/>
      <c r="AE54" s="17"/>
      <c r="AF54" s="17"/>
      <c r="AG54" s="17"/>
    </row>
    <row r="55" spans="1:33" ht="18.899999999999999" thickTop="1" thickBot="1">
      <c r="A55" s="104"/>
      <c r="B55" s="191"/>
      <c r="C55" s="192"/>
      <c r="D55" s="371" t="s">
        <v>447</v>
      </c>
      <c r="E55" s="374" t="str">
        <f ca="1">IF(OR(TRIM(D56)="-",TRIM(D57)="-"),"",VLOOKUP(MIN(C56,C57),Hřiště!$B$11:$E$42,4,0))</f>
        <v/>
      </c>
      <c r="F55" s="189"/>
      <c r="G55" s="110">
        <v>10</v>
      </c>
      <c r="H55" s="111" t="str">
        <f ca="1">IF(OR(TRIM(D56)="-",TRIM(D57)="-"), IF(TRIM(D56)="-",D57,D56),IF(AND(E56="",E57="")," ",IF(N(E56)=N(E57)," ",IF(N(E56)&gt;N(E57),D56,D57))))</f>
        <v>23 PLUK Jablonec - Lukáš Petr</v>
      </c>
      <c r="I55" s="156">
        <v>5</v>
      </c>
      <c r="J55" s="183"/>
      <c r="K55" s="193"/>
      <c r="L55" s="208"/>
      <c r="M55" s="190"/>
      <c r="N55" s="189"/>
      <c r="O55" s="50"/>
      <c r="P55" s="186"/>
      <c r="Q55" s="50"/>
      <c r="R55" s="181"/>
      <c r="S55" s="181"/>
      <c r="T55" s="371" t="s">
        <v>447</v>
      </c>
      <c r="U55" s="374" t="str">
        <f ca="1">IF(OR(TRIM(T56)="-",TRIM(T57)="-"),"",VLOOKUP(MIN(S56,S57),Hřiště!$B$11:$E$42,4,0))</f>
        <v/>
      </c>
      <c r="V55" s="181"/>
      <c r="W55" s="181"/>
      <c r="X55" s="17"/>
      <c r="Y55" s="17"/>
      <c r="Z55" s="17"/>
      <c r="AA55" s="17"/>
      <c r="AB55" s="17"/>
      <c r="AC55" s="17"/>
      <c r="AD55" s="17"/>
      <c r="AE55" s="17"/>
      <c r="AF55" s="17"/>
      <c r="AG55" s="17"/>
    </row>
    <row r="56" spans="1:33" ht="18.45" thickTop="1" thickBot="1">
      <c r="A56" s="116" t="str">
        <f ca="1">VLOOKUP(C56,Postupy!$A$3:$C$34,3,0)</f>
        <v>I2</v>
      </c>
      <c r="B56" s="179"/>
      <c r="C56" s="108">
        <v>23</v>
      </c>
      <c r="D56" s="333" t="str">
        <f ca="1">VLOOKUP(C56,Postupy!$A$3:$BG$34,59,0)</f>
        <v>24 SPORT Kolín - Šternberg Martin</v>
      </c>
      <c r="E56" s="155">
        <v>8</v>
      </c>
      <c r="F56" s="195"/>
      <c r="G56" s="202"/>
      <c r="H56" s="203"/>
      <c r="I56" s="30"/>
      <c r="J56" s="190"/>
      <c r="K56" s="193"/>
      <c r="L56" s="212"/>
      <c r="M56" s="190"/>
      <c r="N56" s="189"/>
      <c r="O56" s="50"/>
      <c r="P56" s="186"/>
      <c r="Q56" s="50"/>
      <c r="R56" s="181"/>
      <c r="S56" s="108">
        <v>4</v>
      </c>
      <c r="T56" s="109" t="str">
        <f ca="1">IF(OR(TRIM(P18)="-",TRIM(P19)="-"), IF(TRIM(P18)="-",P19,P18),IF(AND(Q18="",Q19="")," ",IF(N(Q19)=N(Q18)," ",IF(N(Q19)&gt;N(Q18),P18,P19))))</f>
        <v>4 CdP Loděnice - Resl Jan</v>
      </c>
      <c r="U56" s="155">
        <v>11</v>
      </c>
      <c r="V56" s="195"/>
      <c r="W56" s="39">
        <v>3</v>
      </c>
      <c r="X56" s="131" t="str">
        <f ca="1">IF(AND(U56="",U57="")," ",IF(N(U56)=N(U57)," ",IF(N(U56)=N(U57)," ",IF(N(U56)&gt;N(U57),T56,T57))))</f>
        <v>26 HAVAJ CB - Koreš st. Jiří</v>
      </c>
      <c r="Y56" s="130">
        <v>3</v>
      </c>
      <c r="Z56" s="17"/>
      <c r="AA56" s="17"/>
      <c r="AB56" s="17"/>
      <c r="AC56" s="17"/>
      <c r="AD56" s="17"/>
      <c r="AE56" s="17"/>
      <c r="AF56" s="17"/>
      <c r="AG56" s="17"/>
    </row>
    <row r="57" spans="1:33" ht="18.899999999999999" thickTop="1" thickBot="1">
      <c r="A57" s="116" t="str">
        <f ca="1">VLOOKUP(C57,Postupy!$A$3:$C$34,3,0)</f>
        <v>J1</v>
      </c>
      <c r="B57" s="179"/>
      <c r="C57" s="110">
        <v>10</v>
      </c>
      <c r="D57" s="333" t="str">
        <f ca="1">VLOOKUP(C57,Postupy!$A$3:$BG$34,59,0)</f>
        <v>23 PLUK Jablonec - Lukáš Petr</v>
      </c>
      <c r="E57" s="156">
        <v>13</v>
      </c>
      <c r="F57" s="182"/>
      <c r="G57" s="181"/>
      <c r="H57" s="198"/>
      <c r="I57" s="181"/>
      <c r="J57" s="190"/>
      <c r="K57" s="184"/>
      <c r="L57" s="371" t="s">
        <v>447</v>
      </c>
      <c r="M57" s="374" t="str">
        <f ca="1">IF(OR(TRIM(L58)="-",TRIM(L59)="-"),"",VLOOKUP(MIN(K58,K59),Hřiště!$B$11:$E$42,4,0))</f>
        <v/>
      </c>
      <c r="N57" s="213"/>
      <c r="O57" s="50"/>
      <c r="P57" s="186"/>
      <c r="Q57" s="50"/>
      <c r="R57" s="181"/>
      <c r="S57" s="110">
        <v>3</v>
      </c>
      <c r="T57" s="111" t="str">
        <f ca="1">IF(OR(TRIM(P50)="-",TRIM(P51)="-"), IF(TRIM(P50)="-",P51,P50),IF(AND(Q50="",Q51="")," ",IF(N(Q51)=N(Q50)," ",IF(N(Q51)&gt;N(Q50),P50,P51))))</f>
        <v>26 HAVAJ CB - Koreš st. Jiří</v>
      </c>
      <c r="U57" s="156">
        <v>13</v>
      </c>
      <c r="V57" s="183"/>
      <c r="W57" s="39">
        <v>4</v>
      </c>
      <c r="X57" s="131" t="str">
        <f ca="1">IF(AND(U56="",U57="")," ",IF(N(U57)&gt;N(U56),T56,T57))</f>
        <v>4 CdP Loděnice - Resl Jan</v>
      </c>
      <c r="Y57" s="130">
        <v>4</v>
      </c>
      <c r="Z57" s="17"/>
      <c r="AA57" s="17"/>
      <c r="AB57" s="17"/>
      <c r="AC57" s="17"/>
      <c r="AD57" s="17"/>
      <c r="AE57" s="17"/>
      <c r="AF57" s="17"/>
      <c r="AG57" s="17"/>
    </row>
    <row r="58" spans="1:33" ht="18" thickBot="1">
      <c r="A58" s="107"/>
      <c r="B58" s="187"/>
      <c r="C58" s="187">
        <f>C56+C57</f>
        <v>33</v>
      </c>
      <c r="D58" s="188"/>
      <c r="E58" s="23"/>
      <c r="F58" s="196">
        <f>C54+C58</f>
        <v>66</v>
      </c>
      <c r="G58" s="181"/>
      <c r="H58" s="201"/>
      <c r="I58" s="181"/>
      <c r="J58" s="181"/>
      <c r="K58" s="108">
        <v>7</v>
      </c>
      <c r="L58" s="109" t="str">
        <f ca="1">IF(OR(TRIM(H54)="-",TRIM(H55)="-"), IF(TRIM(H54)="-",H55,H54),IF(AND(I54="",I55="")," ",IF(N(I54)=N(I55)," ",IF(N(I54)&gt;N(I55),H54,H55))))</f>
        <v>26 HAVAJ CB - Koreš st. Jiří</v>
      </c>
      <c r="M58" s="155">
        <v>13</v>
      </c>
      <c r="N58" s="195"/>
      <c r="O58" s="181"/>
      <c r="P58" s="186"/>
      <c r="Q58" s="181"/>
      <c r="R58" s="181"/>
      <c r="S58" s="181"/>
      <c r="T58" s="50"/>
      <c r="U58" s="50"/>
      <c r="V58" s="50"/>
      <c r="W58" s="181"/>
      <c r="X58" s="17"/>
      <c r="Y58" s="17"/>
      <c r="Z58" s="17"/>
      <c r="AA58" s="17"/>
      <c r="AB58" s="17"/>
      <c r="AC58" s="17"/>
      <c r="AD58" s="17"/>
      <c r="AE58" s="17"/>
      <c r="AF58" s="17"/>
      <c r="AG58" s="17"/>
    </row>
    <row r="59" spans="1:33" ht="18.899999999999999" thickTop="1" thickBot="1">
      <c r="A59" s="104"/>
      <c r="B59" s="191"/>
      <c r="C59" s="192"/>
      <c r="D59" s="371" t="s">
        <v>447</v>
      </c>
      <c r="E59" s="374" t="str">
        <f ca="1">IF(OR(TRIM(D60)="-",TRIM(D61)="-"),"",VLOOKUP(MIN(C60,C61),Hřiště!$B$11:$E$42,4,0))</f>
        <v/>
      </c>
      <c r="F59" s="181"/>
      <c r="G59" s="181"/>
      <c r="H59" s="201"/>
      <c r="I59" s="181"/>
      <c r="J59" s="181"/>
      <c r="K59" s="110">
        <v>2</v>
      </c>
      <c r="L59" s="111" t="str">
        <f ca="1">IF(OR(TRIM(H62)="-",TRIM(H63)="-"), IF(TRIM(H62)="-",H63,H62),IF(AND(I62="",I63="")," ",IF(N(I62)=N(I63)," ",IF(N(I62)&gt;N(I63),H62,H63))))</f>
        <v>17 SK Sahara Vědomice - Demčíková Jiřina</v>
      </c>
      <c r="M59" s="156">
        <v>5</v>
      </c>
      <c r="N59" s="182"/>
      <c r="O59" s="181"/>
      <c r="P59" s="186"/>
      <c r="Q59" s="181"/>
      <c r="R59" s="181"/>
      <c r="S59" s="181"/>
      <c r="T59" s="181"/>
      <c r="U59" s="181"/>
      <c r="V59" s="181"/>
      <c r="W59" s="190"/>
      <c r="X59" s="17"/>
      <c r="Y59" s="17"/>
      <c r="Z59" s="17"/>
      <c r="AA59" s="17"/>
      <c r="AB59" s="17"/>
      <c r="AC59" s="17"/>
      <c r="AD59" s="17"/>
      <c r="AE59" s="17"/>
      <c r="AF59" s="17"/>
      <c r="AG59" s="17"/>
    </row>
    <row r="60" spans="1:33" ht="18.45" thickTop="1" thickBot="1">
      <c r="A60" s="116" t="str">
        <f ca="1">VLOOKUP(C60,Postupy!$A$3:$C$34,3,0)</f>
        <v>O1</v>
      </c>
      <c r="B60" s="179"/>
      <c r="C60" s="108">
        <v>15</v>
      </c>
      <c r="D60" s="333" t="str">
        <f ca="1">VLOOKUP(C60,Postupy!$A$3:$BG$34,59,0)</f>
        <v>15 1. KPK Vrchlabí - Hančová Alice</v>
      </c>
      <c r="E60" s="155">
        <v>5</v>
      </c>
      <c r="F60" s="184"/>
      <c r="G60" s="181"/>
      <c r="H60" s="198"/>
      <c r="I60" s="190"/>
      <c r="J60" s="190"/>
      <c r="K60" s="202"/>
      <c r="L60" s="215"/>
      <c r="M60" s="30"/>
      <c r="N60" s="181"/>
      <c r="O60" s="181"/>
      <c r="P60" s="181"/>
      <c r="Q60" s="181"/>
      <c r="R60" s="181"/>
      <c r="S60" s="181"/>
      <c r="T60" s="181"/>
      <c r="U60" s="181"/>
      <c r="V60" s="181"/>
      <c r="W60" s="190"/>
      <c r="X60" s="17"/>
      <c r="Y60" s="17"/>
      <c r="Z60" s="17"/>
      <c r="AA60" s="17"/>
      <c r="AB60" s="17"/>
      <c r="AC60" s="17"/>
      <c r="AD60" s="17"/>
      <c r="AE60" s="17"/>
      <c r="AF60" s="17"/>
      <c r="AG60" s="17"/>
    </row>
    <row r="61" spans="1:33" ht="18.899999999999999" thickTop="1" thickBot="1">
      <c r="A61" s="116" t="str">
        <f ca="1">VLOOKUP(C61,Postupy!$A$3:$C$34,3,0)</f>
        <v>P2</v>
      </c>
      <c r="B61" s="179"/>
      <c r="C61" s="110">
        <v>18</v>
      </c>
      <c r="D61" s="333" t="str">
        <f ca="1">VLOOKUP(C61,Postupy!$A$3:$BG$34,59,0)</f>
        <v>17 SK Sahara Vědomice - Demčíková Jiřina</v>
      </c>
      <c r="E61" s="156">
        <v>13</v>
      </c>
      <c r="F61" s="204" t="s">
        <v>119</v>
      </c>
      <c r="G61" s="184"/>
      <c r="H61" s="371" t="s">
        <v>447</v>
      </c>
      <c r="I61" s="374" t="str">
        <f ca="1">IF(OR(TRIM(H62)="-",TRIM(H63)="-"),"",VLOOKUP(MIN(G62,G63),Hřiště!$B$11:$E$42,4,0))</f>
        <v/>
      </c>
      <c r="J61" s="190"/>
      <c r="K61" s="193"/>
      <c r="L61" s="186"/>
      <c r="M61" s="50"/>
      <c r="N61" s="181"/>
      <c r="O61" s="181"/>
      <c r="P61" s="181"/>
      <c r="Q61" s="181"/>
      <c r="R61" s="181"/>
      <c r="S61" s="181"/>
      <c r="T61" s="181"/>
      <c r="U61" s="181"/>
      <c r="V61" s="181"/>
      <c r="W61" s="190"/>
      <c r="X61" s="17"/>
      <c r="Y61" s="17"/>
      <c r="Z61" s="17"/>
      <c r="AA61" s="17"/>
      <c r="AB61" s="17"/>
      <c r="AC61" s="17"/>
      <c r="AD61" s="17"/>
      <c r="AE61" s="17"/>
      <c r="AF61" s="17"/>
      <c r="AG61" s="17"/>
    </row>
    <row r="62" spans="1:33" ht="18" thickBot="1">
      <c r="A62" s="107"/>
      <c r="B62" s="187"/>
      <c r="C62" s="187">
        <f>C60+C61</f>
        <v>33</v>
      </c>
      <c r="D62" s="188"/>
      <c r="E62" s="23"/>
      <c r="F62" s="23"/>
      <c r="G62" s="108">
        <v>15</v>
      </c>
      <c r="H62" s="109" t="str">
        <f ca="1">IF(OR(TRIM(D60)="-",TRIM(D61)="-"), IF(TRIM(D60)="-",D61,D60),IF(AND(E60="",E61="")," ",IF(N(E60)=N(E61)," ",IF(N(E60)&gt;N(E61),D60,D61))))</f>
        <v>17 SK Sahara Vědomice - Demčíková Jiřina</v>
      </c>
      <c r="I62" s="155">
        <v>13</v>
      </c>
      <c r="J62" s="195"/>
      <c r="K62" s="193"/>
      <c r="L62" s="186"/>
      <c r="M62" s="50"/>
      <c r="N62" s="181"/>
      <c r="O62" s="181"/>
      <c r="P62" s="181"/>
      <c r="Q62" s="181"/>
      <c r="R62" s="181"/>
      <c r="S62" s="181"/>
      <c r="T62" s="181"/>
      <c r="U62" s="181"/>
      <c r="V62" s="181"/>
      <c r="W62" s="190"/>
      <c r="X62" s="17"/>
      <c r="Y62" s="17"/>
      <c r="Z62" s="17"/>
      <c r="AA62" s="17"/>
      <c r="AB62" s="17"/>
      <c r="AC62" s="17"/>
      <c r="AD62" s="17"/>
      <c r="AE62" s="17"/>
      <c r="AF62" s="17"/>
      <c r="AG62" s="17"/>
    </row>
    <row r="63" spans="1:33" ht="18.899999999999999" thickTop="1" thickBot="1">
      <c r="A63" s="104"/>
      <c r="B63" s="191"/>
      <c r="C63" s="192"/>
      <c r="D63" s="371" t="s">
        <v>447</v>
      </c>
      <c r="E63" s="374" t="str">
        <f ca="1">IF(OR(TRIM(D64)="-",TRIM(D65)="-"),"",VLOOKUP(MIN(C64,C65),Hřiště!$B$11:$E$42,4,0))</f>
        <v/>
      </c>
      <c r="F63" s="200"/>
      <c r="G63" s="110">
        <v>2</v>
      </c>
      <c r="H63" s="111" t="str">
        <f ca="1">IF(OR(TRIM(D64)="-",TRIM(D65)="-"), IF(TRIM(D64)="-",D65,D64),IF(AND(E64="",E65="")," ",IF(N(E64)=N(E65)," ",IF(N(E64)&gt;N(E65),D64,D65))))</f>
        <v>2 PC Sokol Lipník - Froňková Kateřina</v>
      </c>
      <c r="I63" s="156">
        <v>11</v>
      </c>
      <c r="J63" s="182"/>
      <c r="K63" s="181"/>
      <c r="L63" s="186"/>
      <c r="M63" s="181"/>
      <c r="N63" s="181"/>
      <c r="O63" s="181"/>
      <c r="P63" s="181"/>
      <c r="Q63" s="181"/>
      <c r="R63" s="181"/>
      <c r="S63" s="181"/>
      <c r="T63" s="181"/>
      <c r="U63" s="181"/>
      <c r="V63" s="181"/>
      <c r="W63" s="190"/>
      <c r="X63" s="17"/>
      <c r="Y63" s="17"/>
      <c r="Z63" s="17"/>
      <c r="AA63" s="17"/>
      <c r="AB63" s="17"/>
      <c r="AC63" s="17"/>
      <c r="AD63" s="17"/>
      <c r="AE63" s="17"/>
      <c r="AF63" s="17"/>
      <c r="AG63" s="17"/>
    </row>
    <row r="64" spans="1:33" ht="18.45" thickTop="1" thickBot="1">
      <c r="A64" s="116" t="str">
        <f ca="1">VLOOKUP(C64,Postupy!$A$3:$C$34,3,0)</f>
        <v>A2</v>
      </c>
      <c r="B64" s="179"/>
      <c r="C64" s="108">
        <v>31</v>
      </c>
      <c r="D64" s="333" t="str">
        <f ca="1">VLOOKUP(C64,Postupy!$A$3:$BG$34,59,0)</f>
        <v>33 HRODE KRUMSÍN - Ptáčková Eliška</v>
      </c>
      <c r="E64" s="155">
        <v>6</v>
      </c>
      <c r="F64" s="205"/>
      <c r="G64" s="202"/>
      <c r="H64" s="216"/>
      <c r="I64" s="30"/>
      <c r="J64" s="181"/>
      <c r="K64" s="181"/>
      <c r="L64" s="217"/>
      <c r="M64" s="181"/>
      <c r="N64" s="181"/>
      <c r="O64" s="181"/>
      <c r="P64" s="181"/>
      <c r="Q64" s="181"/>
      <c r="R64" s="181"/>
      <c r="S64" s="181"/>
      <c r="T64" s="181"/>
      <c r="U64" s="181"/>
      <c r="V64" s="181"/>
      <c r="W64" s="190"/>
      <c r="X64" s="17"/>
      <c r="Y64" s="17"/>
      <c r="Z64" s="17"/>
      <c r="AA64" s="17"/>
      <c r="AB64" s="17"/>
      <c r="AC64" s="17"/>
      <c r="AD64" s="17"/>
      <c r="AE64" s="17"/>
      <c r="AF64" s="17"/>
      <c r="AG64" s="17"/>
    </row>
    <row r="65" spans="1:33" ht="18.45" thickTop="1" thickBot="1">
      <c r="A65" s="116" t="str">
        <f ca="1">VLOOKUP(C65,Postupy!$A$3:$C$34,3,0)</f>
        <v>B1</v>
      </c>
      <c r="B65" s="179"/>
      <c r="C65" s="110">
        <v>2</v>
      </c>
      <c r="D65" s="333" t="str">
        <f ca="1">VLOOKUP(C65,Postupy!$A$3:$BG$34,59,0)</f>
        <v>2 PC Sokol Lipník - Froňková Kateřina</v>
      </c>
      <c r="E65" s="156">
        <v>13</v>
      </c>
      <c r="F65" s="206"/>
      <c r="G65" s="181"/>
      <c r="H65" s="190"/>
      <c r="I65" s="181"/>
      <c r="J65" s="181"/>
      <c r="K65" s="181"/>
      <c r="L65" s="218"/>
      <c r="M65" s="181"/>
      <c r="N65" s="181"/>
      <c r="O65" s="181"/>
      <c r="P65" s="181"/>
      <c r="Q65" s="181"/>
      <c r="R65" s="181"/>
      <c r="S65" s="181"/>
      <c r="T65" s="181"/>
      <c r="U65" s="181"/>
      <c r="V65" s="181"/>
      <c r="W65" s="190"/>
      <c r="X65" s="17"/>
      <c r="Y65" s="17"/>
      <c r="Z65" s="17"/>
      <c r="AA65" s="17"/>
      <c r="AB65" s="17"/>
      <c r="AC65" s="17"/>
      <c r="AD65" s="17"/>
      <c r="AE65" s="17"/>
      <c r="AF65" s="17"/>
      <c r="AG65" s="17"/>
    </row>
    <row r="66" spans="1:33" ht="12.45">
      <c r="A66" s="107"/>
      <c r="B66" s="22"/>
      <c r="C66" s="187">
        <f>C64+C65</f>
        <v>33</v>
      </c>
      <c r="D66" s="188"/>
      <c r="E66" s="23"/>
      <c r="F66" s="196">
        <f>C62+C66</f>
        <v>66</v>
      </c>
      <c r="G66" s="181"/>
      <c r="H66" s="181"/>
      <c r="I66" s="181"/>
      <c r="J66" s="181"/>
      <c r="K66" s="181"/>
      <c r="L66" s="181"/>
      <c r="M66" s="181"/>
      <c r="N66" s="181"/>
      <c r="O66" s="181"/>
      <c r="P66" s="181"/>
      <c r="Q66" s="181"/>
      <c r="R66" s="181"/>
      <c r="S66" s="181"/>
      <c r="T66" s="181"/>
      <c r="U66" s="181"/>
      <c r="V66" s="181"/>
      <c r="W66" s="190"/>
      <c r="X66" s="17"/>
      <c r="Y66" s="17"/>
      <c r="Z66" s="17"/>
      <c r="AA66" s="17"/>
      <c r="AB66" s="17"/>
      <c r="AC66" s="17"/>
      <c r="AD66" s="17"/>
      <c r="AE66" s="17"/>
      <c r="AF66" s="17"/>
      <c r="AG66" s="17"/>
    </row>
    <row r="67" spans="1:33" ht="17.600000000000001">
      <c r="A67" s="104"/>
      <c r="B67" s="22"/>
      <c r="C67" s="192"/>
      <c r="D67" s="188"/>
      <c r="E67" s="25"/>
      <c r="F67" s="196"/>
      <c r="G67" s="23"/>
      <c r="H67" s="181"/>
      <c r="I67" s="23"/>
      <c r="J67" s="181"/>
      <c r="K67" s="181"/>
      <c r="L67" s="181"/>
      <c r="M67" s="181"/>
      <c r="N67" s="181"/>
      <c r="O67" s="181"/>
      <c r="P67" s="181"/>
      <c r="Q67" s="181"/>
      <c r="R67" s="181"/>
      <c r="S67" s="181"/>
      <c r="T67" s="181"/>
      <c r="U67" s="181"/>
      <c r="V67" s="181"/>
      <c r="W67" s="190"/>
      <c r="X67" s="17"/>
      <c r="Y67" s="17"/>
      <c r="Z67" s="17"/>
      <c r="AA67" s="17"/>
      <c r="AB67" s="17"/>
      <c r="AC67" s="17"/>
      <c r="AD67" s="17"/>
      <c r="AE67" s="17"/>
      <c r="AF67" s="17"/>
      <c r="AG67" s="17"/>
    </row>
    <row r="68" spans="1:33">
      <c r="A68" s="17"/>
      <c r="B68" s="196"/>
      <c r="C68" s="22"/>
      <c r="D68" s="23"/>
      <c r="E68" s="23"/>
      <c r="F68" s="196"/>
      <c r="G68" s="181"/>
      <c r="H68" s="190"/>
      <c r="I68" s="181"/>
      <c r="J68" s="181"/>
      <c r="K68" s="181"/>
      <c r="L68" s="181"/>
      <c r="M68" s="181"/>
      <c r="N68" s="181"/>
      <c r="O68" s="181"/>
      <c r="P68" s="181"/>
      <c r="Q68" s="181"/>
      <c r="R68" s="181"/>
      <c r="S68" s="181"/>
      <c r="T68" s="181"/>
      <c r="U68" s="181"/>
      <c r="V68" s="181"/>
      <c r="W68" s="190"/>
      <c r="X68" s="17"/>
      <c r="Y68" s="17"/>
      <c r="Z68" s="17"/>
      <c r="AA68" s="17"/>
      <c r="AB68" s="17"/>
      <c r="AC68" s="17"/>
      <c r="AD68" s="17"/>
      <c r="AE68" s="17"/>
      <c r="AF68" s="17"/>
      <c r="AG68" s="17"/>
    </row>
    <row r="69" spans="1:33">
      <c r="A69" s="17"/>
      <c r="B69" s="196"/>
      <c r="C69" s="22"/>
      <c r="D69" s="23"/>
      <c r="E69" s="23"/>
      <c r="F69" s="196"/>
      <c r="G69" s="181"/>
      <c r="H69" s="190"/>
      <c r="I69" s="181"/>
      <c r="J69" s="181"/>
      <c r="K69" s="181"/>
      <c r="L69" s="181"/>
      <c r="M69" s="181"/>
      <c r="N69" s="181"/>
      <c r="O69" s="181"/>
      <c r="P69" s="181"/>
      <c r="Q69" s="181"/>
      <c r="R69" s="181"/>
      <c r="S69" s="181"/>
      <c r="T69" s="181"/>
      <c r="U69" s="181"/>
      <c r="V69" s="181"/>
      <c r="W69" s="190"/>
      <c r="X69" s="17"/>
      <c r="Y69" s="17"/>
      <c r="Z69" s="17"/>
      <c r="AA69" s="17"/>
      <c r="AB69" s="17"/>
      <c r="AC69" s="17"/>
      <c r="AD69" s="17"/>
      <c r="AE69" s="17"/>
      <c r="AF69" s="17"/>
      <c r="AG69" s="17"/>
    </row>
    <row r="70" spans="1:33">
      <c r="A70" s="17"/>
      <c r="B70" s="196"/>
      <c r="C70" s="22"/>
      <c r="D70" s="23"/>
      <c r="E70" s="23"/>
      <c r="F70" s="196"/>
      <c r="G70" s="181"/>
      <c r="H70" s="190"/>
      <c r="I70" s="181"/>
      <c r="J70" s="181"/>
      <c r="K70" s="181"/>
      <c r="L70" s="181"/>
      <c r="M70" s="181"/>
      <c r="N70" s="181"/>
      <c r="O70" s="181"/>
      <c r="P70" s="181"/>
      <c r="Q70" s="181"/>
      <c r="R70" s="181"/>
      <c r="S70" s="181"/>
      <c r="T70" s="181"/>
      <c r="U70" s="181"/>
      <c r="V70" s="181"/>
      <c r="W70" s="190"/>
      <c r="X70" s="17"/>
      <c r="Y70" s="17"/>
      <c r="Z70" s="17"/>
      <c r="AA70" s="17"/>
      <c r="AB70" s="17"/>
      <c r="AC70" s="17"/>
      <c r="AD70" s="17"/>
      <c r="AE70" s="17"/>
      <c r="AF70" s="17"/>
      <c r="AG70" s="17"/>
    </row>
    <row r="71" spans="1:33">
      <c r="A71" s="17"/>
      <c r="B71" s="196"/>
      <c r="C71" s="22"/>
      <c r="D71" s="23"/>
      <c r="E71" s="23"/>
      <c r="F71" s="196"/>
      <c r="G71" s="181"/>
      <c r="H71" s="190"/>
      <c r="I71" s="181"/>
      <c r="J71" s="181"/>
      <c r="K71" s="181"/>
      <c r="L71" s="181"/>
      <c r="M71" s="181"/>
      <c r="N71" s="181"/>
      <c r="O71" s="181"/>
      <c r="P71" s="181"/>
      <c r="Q71" s="181"/>
      <c r="R71" s="181"/>
      <c r="S71" s="181"/>
      <c r="T71" s="181"/>
      <c r="U71" s="181"/>
      <c r="V71" s="181"/>
      <c r="W71" s="190"/>
      <c r="X71" s="17"/>
      <c r="Y71" s="17"/>
      <c r="Z71" s="17"/>
      <c r="AA71" s="17"/>
      <c r="AB71" s="17"/>
      <c r="AC71" s="17"/>
      <c r="AD71" s="17"/>
      <c r="AE71" s="17"/>
      <c r="AF71" s="17"/>
      <c r="AG71" s="17"/>
    </row>
    <row r="72" spans="1:33">
      <c r="A72" s="17"/>
      <c r="B72" s="196"/>
      <c r="C72" s="22"/>
      <c r="D72" s="23"/>
      <c r="E72" s="23"/>
      <c r="F72" s="196"/>
      <c r="G72" s="181"/>
      <c r="H72" s="190"/>
      <c r="I72" s="181"/>
      <c r="J72" s="181"/>
      <c r="K72" s="181"/>
      <c r="L72" s="181"/>
      <c r="M72" s="181"/>
      <c r="N72" s="181"/>
      <c r="O72" s="181"/>
      <c r="P72" s="181"/>
      <c r="Q72" s="181"/>
      <c r="R72" s="181"/>
      <c r="S72" s="181"/>
      <c r="T72" s="181"/>
      <c r="U72" s="181"/>
      <c r="V72" s="181"/>
      <c r="W72" s="190"/>
      <c r="X72" s="17"/>
      <c r="Y72" s="17"/>
      <c r="Z72" s="17"/>
      <c r="AA72" s="17"/>
      <c r="AB72" s="17"/>
      <c r="AC72" s="17"/>
      <c r="AD72" s="17"/>
      <c r="AE72" s="17"/>
      <c r="AF72" s="17"/>
      <c r="AG72" s="17"/>
    </row>
    <row r="73" spans="1:33">
      <c r="A73" s="17"/>
      <c r="B73" s="196"/>
      <c r="C73" s="22"/>
      <c r="D73" s="23"/>
      <c r="E73" s="23"/>
      <c r="F73" s="196"/>
      <c r="G73" s="181"/>
      <c r="H73" s="190"/>
      <c r="I73" s="181"/>
      <c r="J73" s="181"/>
      <c r="K73" s="181"/>
      <c r="L73" s="181"/>
      <c r="M73" s="181"/>
      <c r="N73" s="181"/>
      <c r="O73" s="181"/>
      <c r="P73" s="181"/>
      <c r="Q73" s="181"/>
      <c r="R73" s="181"/>
      <c r="S73" s="181"/>
      <c r="T73" s="181"/>
      <c r="U73" s="181"/>
      <c r="V73" s="181"/>
      <c r="W73" s="190"/>
      <c r="X73" s="17"/>
      <c r="Y73" s="17"/>
      <c r="Z73" s="17"/>
      <c r="AA73" s="17"/>
      <c r="AB73" s="17"/>
      <c r="AC73" s="17"/>
      <c r="AD73" s="17"/>
      <c r="AE73" s="17"/>
      <c r="AF73" s="17"/>
      <c r="AG73" s="17"/>
    </row>
    <row r="74" spans="1:33">
      <c r="A74" s="17"/>
      <c r="B74" s="196"/>
      <c r="C74" s="22"/>
      <c r="D74" s="23"/>
      <c r="E74" s="23"/>
      <c r="F74" s="196"/>
      <c r="G74" s="181"/>
      <c r="H74" s="190"/>
      <c r="I74" s="181"/>
      <c r="J74" s="181"/>
      <c r="K74" s="181"/>
      <c r="L74" s="181"/>
      <c r="M74" s="181"/>
      <c r="N74" s="181"/>
      <c r="O74" s="181"/>
      <c r="P74" s="181"/>
      <c r="Q74" s="181"/>
      <c r="R74" s="181"/>
      <c r="S74" s="181"/>
      <c r="T74" s="181"/>
      <c r="U74" s="181"/>
      <c r="V74" s="181"/>
      <c r="W74" s="190"/>
      <c r="X74" s="17"/>
      <c r="Y74" s="17"/>
      <c r="Z74" s="17"/>
      <c r="AA74" s="17"/>
      <c r="AB74" s="17"/>
      <c r="AC74" s="17"/>
      <c r="AD74" s="17"/>
      <c r="AE74" s="17"/>
      <c r="AF74" s="17"/>
      <c r="AG74" s="17"/>
    </row>
    <row r="75" spans="1:33">
      <c r="A75" s="17"/>
      <c r="B75" s="196"/>
      <c r="C75" s="22"/>
      <c r="D75" s="23"/>
      <c r="E75" s="23"/>
      <c r="F75" s="196"/>
      <c r="G75" s="181"/>
      <c r="H75" s="190"/>
      <c r="I75" s="181"/>
      <c r="J75" s="181"/>
      <c r="K75" s="181"/>
      <c r="L75" s="181"/>
      <c r="M75" s="181"/>
      <c r="N75" s="181"/>
      <c r="O75" s="181"/>
      <c r="P75" s="181"/>
      <c r="Q75" s="181"/>
      <c r="R75" s="181"/>
      <c r="S75" s="181"/>
      <c r="T75" s="181"/>
      <c r="U75" s="181"/>
      <c r="V75" s="181"/>
      <c r="W75" s="190"/>
      <c r="X75" s="17"/>
      <c r="Y75" s="17"/>
      <c r="Z75" s="17"/>
      <c r="AA75" s="17"/>
      <c r="AB75" s="17"/>
      <c r="AC75" s="17"/>
      <c r="AD75" s="17"/>
      <c r="AE75" s="17"/>
      <c r="AF75" s="17"/>
      <c r="AG75" s="17"/>
    </row>
    <row r="76" spans="1:33">
      <c r="A76" s="17"/>
      <c r="B76" s="196"/>
      <c r="C76" s="22"/>
      <c r="D76" s="23"/>
      <c r="E76" s="23"/>
      <c r="F76" s="196"/>
      <c r="G76" s="181"/>
      <c r="H76" s="190"/>
      <c r="I76" s="181"/>
      <c r="J76" s="181"/>
      <c r="K76" s="181"/>
      <c r="L76" s="181"/>
      <c r="M76" s="181"/>
      <c r="N76" s="181"/>
      <c r="O76" s="181"/>
      <c r="P76" s="181"/>
      <c r="Q76" s="181"/>
      <c r="R76" s="181"/>
      <c r="S76" s="181"/>
      <c r="T76" s="181"/>
      <c r="U76" s="181"/>
      <c r="V76" s="181"/>
      <c r="W76" s="190"/>
      <c r="X76" s="17"/>
      <c r="Y76" s="17"/>
      <c r="Z76" s="17"/>
      <c r="AA76" s="17"/>
      <c r="AB76" s="17"/>
      <c r="AC76" s="17"/>
      <c r="AD76" s="17"/>
      <c r="AE76" s="17"/>
      <c r="AF76" s="17"/>
      <c r="AG76" s="17"/>
    </row>
    <row r="77" spans="1:33">
      <c r="A77" s="17"/>
      <c r="B77" s="196"/>
      <c r="C77" s="22"/>
      <c r="D77" s="23"/>
      <c r="E77" s="23"/>
      <c r="F77" s="196"/>
      <c r="G77" s="181"/>
      <c r="H77" s="190"/>
      <c r="I77" s="181"/>
      <c r="J77" s="181"/>
      <c r="K77" s="181"/>
      <c r="L77" s="181"/>
      <c r="M77" s="181"/>
      <c r="N77" s="181"/>
      <c r="O77" s="181"/>
      <c r="P77" s="181"/>
      <c r="Q77" s="181"/>
      <c r="R77" s="181"/>
      <c r="S77" s="181"/>
      <c r="T77" s="181"/>
      <c r="U77" s="181"/>
      <c r="V77" s="181"/>
      <c r="W77" s="190"/>
      <c r="X77" s="17"/>
      <c r="Y77" s="17"/>
      <c r="Z77" s="17"/>
      <c r="AA77" s="17"/>
      <c r="AB77" s="17"/>
      <c r="AC77" s="17"/>
      <c r="AD77" s="17"/>
      <c r="AE77" s="17"/>
      <c r="AF77" s="17"/>
      <c r="AG77" s="17"/>
    </row>
    <row r="78" spans="1:33">
      <c r="A78" s="17"/>
      <c r="B78" s="196"/>
      <c r="C78" s="22"/>
      <c r="D78" s="23"/>
      <c r="E78" s="23"/>
      <c r="F78" s="196"/>
      <c r="G78" s="181"/>
      <c r="H78" s="190"/>
      <c r="I78" s="181"/>
      <c r="J78" s="181"/>
      <c r="K78" s="181"/>
      <c r="L78" s="181"/>
      <c r="M78" s="181"/>
      <c r="N78" s="181"/>
      <c r="O78" s="181"/>
      <c r="P78" s="181"/>
      <c r="Q78" s="181"/>
      <c r="R78" s="181"/>
      <c r="S78" s="181"/>
      <c r="T78" s="181"/>
      <c r="U78" s="181"/>
      <c r="V78" s="181"/>
      <c r="W78" s="190"/>
      <c r="X78" s="17"/>
      <c r="Y78" s="17"/>
      <c r="Z78" s="17"/>
      <c r="AA78" s="17"/>
      <c r="AB78" s="17"/>
      <c r="AC78" s="17"/>
      <c r="AD78" s="17"/>
      <c r="AE78" s="17"/>
      <c r="AF78" s="17"/>
      <c r="AG78" s="17"/>
    </row>
    <row r="79" spans="1:33">
      <c r="A79" s="17"/>
      <c r="B79" s="196"/>
      <c r="C79" s="22"/>
      <c r="D79" s="23"/>
      <c r="E79" s="23"/>
      <c r="F79" s="196"/>
      <c r="G79" s="181"/>
      <c r="H79" s="190"/>
      <c r="I79" s="181"/>
      <c r="J79" s="181"/>
      <c r="K79" s="181"/>
      <c r="L79" s="181"/>
      <c r="M79" s="181"/>
      <c r="N79" s="181"/>
      <c r="O79" s="181"/>
      <c r="P79" s="181"/>
      <c r="Q79" s="181"/>
      <c r="R79" s="181"/>
      <c r="S79" s="181"/>
      <c r="T79" s="181"/>
      <c r="U79" s="181"/>
      <c r="V79" s="181"/>
      <c r="W79" s="190"/>
      <c r="X79" s="17"/>
      <c r="Y79" s="17"/>
      <c r="Z79" s="17"/>
      <c r="AA79" s="17"/>
      <c r="AB79" s="17"/>
      <c r="AC79" s="17"/>
      <c r="AD79" s="17"/>
      <c r="AE79" s="17"/>
      <c r="AF79" s="17"/>
      <c r="AG79" s="17"/>
    </row>
    <row r="80" spans="1:33">
      <c r="A80" s="17"/>
      <c r="B80" s="196"/>
      <c r="C80" s="22"/>
      <c r="D80" s="23"/>
      <c r="E80" s="23"/>
      <c r="F80" s="196"/>
      <c r="G80" s="181"/>
      <c r="H80" s="190"/>
      <c r="I80" s="181"/>
      <c r="J80" s="181"/>
      <c r="K80" s="181"/>
      <c r="L80" s="181"/>
      <c r="M80" s="181"/>
      <c r="N80" s="181"/>
      <c r="O80" s="181"/>
      <c r="P80" s="181"/>
      <c r="Q80" s="181"/>
      <c r="R80" s="181"/>
      <c r="S80" s="181"/>
      <c r="T80" s="181"/>
      <c r="U80" s="181"/>
      <c r="V80" s="181"/>
      <c r="W80" s="190"/>
      <c r="X80" s="17"/>
      <c r="Y80" s="17"/>
      <c r="Z80" s="17"/>
      <c r="AA80" s="17"/>
      <c r="AB80" s="17"/>
      <c r="AC80" s="17"/>
      <c r="AD80" s="17"/>
      <c r="AE80" s="17"/>
      <c r="AF80" s="17"/>
      <c r="AG80" s="17"/>
    </row>
    <row r="81" spans="1:33">
      <c r="A81" s="17"/>
      <c r="B81" s="196"/>
      <c r="C81" s="22"/>
      <c r="D81" s="23"/>
      <c r="E81" s="23"/>
      <c r="F81" s="196"/>
      <c r="G81" s="181"/>
      <c r="H81" s="190"/>
      <c r="I81" s="181"/>
      <c r="J81" s="181"/>
      <c r="K81" s="181"/>
      <c r="L81" s="181"/>
      <c r="M81" s="181"/>
      <c r="N81" s="181"/>
      <c r="O81" s="181"/>
      <c r="P81" s="181"/>
      <c r="Q81" s="181"/>
      <c r="R81" s="181"/>
      <c r="S81" s="181"/>
      <c r="T81" s="181"/>
      <c r="U81" s="181"/>
      <c r="V81" s="181"/>
      <c r="W81" s="190"/>
      <c r="X81" s="17"/>
      <c r="Y81" s="17"/>
      <c r="Z81" s="17"/>
      <c r="AA81" s="17"/>
      <c r="AB81" s="17"/>
      <c r="AC81" s="17"/>
      <c r="AD81" s="17"/>
      <c r="AE81" s="17"/>
      <c r="AF81" s="17"/>
      <c r="AG81" s="17"/>
    </row>
    <row r="82" spans="1:33">
      <c r="A82" s="17"/>
      <c r="B82" s="196"/>
      <c r="C82" s="22"/>
      <c r="D82" s="23"/>
      <c r="E82" s="23"/>
      <c r="F82" s="196"/>
      <c r="G82" s="181"/>
      <c r="H82" s="190"/>
      <c r="I82" s="181"/>
      <c r="J82" s="181"/>
      <c r="K82" s="181"/>
      <c r="L82" s="181"/>
      <c r="M82" s="181"/>
      <c r="N82" s="181"/>
      <c r="O82" s="181"/>
      <c r="P82" s="181"/>
      <c r="Q82" s="181"/>
      <c r="R82" s="181"/>
      <c r="S82" s="181"/>
      <c r="T82" s="181"/>
      <c r="U82" s="181"/>
      <c r="V82" s="181"/>
      <c r="W82" s="190"/>
      <c r="X82" s="17"/>
      <c r="Y82" s="17"/>
      <c r="Z82" s="17"/>
      <c r="AA82" s="17"/>
      <c r="AB82" s="17"/>
      <c r="AC82" s="17"/>
      <c r="AD82" s="17"/>
      <c r="AE82" s="17"/>
      <c r="AF82" s="17"/>
      <c r="AG82" s="17"/>
    </row>
    <row r="83" spans="1:33">
      <c r="A83" s="17"/>
      <c r="B83" s="196"/>
      <c r="C83" s="22"/>
      <c r="D83" s="23"/>
      <c r="E83" s="23"/>
      <c r="F83" s="196"/>
      <c r="G83" s="181"/>
      <c r="H83" s="190"/>
      <c r="I83" s="181"/>
      <c r="J83" s="181"/>
      <c r="K83" s="181"/>
      <c r="L83" s="181"/>
      <c r="M83" s="181"/>
      <c r="N83" s="181"/>
      <c r="O83" s="181"/>
      <c r="P83" s="181"/>
      <c r="Q83" s="181"/>
      <c r="R83" s="181"/>
      <c r="S83" s="181"/>
      <c r="T83" s="181"/>
      <c r="U83" s="181"/>
      <c r="V83" s="181"/>
      <c r="W83" s="190"/>
      <c r="X83" s="17"/>
      <c r="Y83" s="17"/>
      <c r="Z83" s="17"/>
      <c r="AA83" s="17"/>
      <c r="AB83" s="17"/>
      <c r="AC83" s="17"/>
      <c r="AD83" s="17"/>
      <c r="AE83" s="17"/>
      <c r="AF83" s="17"/>
      <c r="AG83" s="17"/>
    </row>
    <row r="84" spans="1:33">
      <c r="A84" s="17"/>
      <c r="B84" s="196"/>
      <c r="C84" s="22"/>
      <c r="D84" s="23"/>
      <c r="E84" s="23"/>
      <c r="F84" s="196"/>
      <c r="G84" s="181"/>
      <c r="H84" s="190"/>
      <c r="I84" s="181"/>
      <c r="J84" s="181"/>
      <c r="K84" s="181"/>
      <c r="L84" s="181"/>
      <c r="M84" s="181"/>
      <c r="N84" s="181"/>
      <c r="O84" s="181"/>
      <c r="P84" s="181"/>
      <c r="Q84" s="181"/>
      <c r="R84" s="181"/>
      <c r="S84" s="181"/>
      <c r="T84" s="181"/>
      <c r="U84" s="181"/>
      <c r="V84" s="181"/>
      <c r="W84" s="190"/>
      <c r="X84" s="17"/>
      <c r="Y84" s="17"/>
      <c r="Z84" s="17"/>
      <c r="AA84" s="17"/>
      <c r="AB84" s="17"/>
      <c r="AC84" s="17"/>
      <c r="AD84" s="17"/>
      <c r="AE84" s="17"/>
      <c r="AF84" s="17"/>
      <c r="AG84" s="17"/>
    </row>
    <row r="85" spans="1:33">
      <c r="A85" s="17"/>
      <c r="B85" s="196"/>
      <c r="C85" s="22"/>
      <c r="D85" s="23"/>
      <c r="E85" s="23"/>
      <c r="F85" s="196"/>
      <c r="G85" s="181"/>
      <c r="H85" s="190"/>
      <c r="I85" s="181"/>
      <c r="J85" s="181"/>
      <c r="K85" s="181"/>
      <c r="L85" s="181"/>
      <c r="M85" s="181"/>
      <c r="N85" s="181"/>
      <c r="O85" s="181"/>
      <c r="P85" s="181"/>
      <c r="Q85" s="181"/>
      <c r="R85" s="181"/>
      <c r="S85" s="181"/>
      <c r="T85" s="181"/>
      <c r="U85" s="181"/>
      <c r="V85" s="181"/>
      <c r="W85" s="190"/>
      <c r="X85" s="17"/>
      <c r="Y85" s="17"/>
      <c r="Z85" s="17"/>
      <c r="AA85" s="17"/>
      <c r="AB85" s="17"/>
      <c r="AC85" s="17"/>
      <c r="AD85" s="17"/>
      <c r="AE85" s="17"/>
      <c r="AF85" s="17"/>
      <c r="AG85" s="17"/>
    </row>
    <row r="86" spans="1:33">
      <c r="A86" s="17"/>
      <c r="B86" s="196"/>
      <c r="C86" s="22"/>
      <c r="D86" s="23"/>
      <c r="E86" s="23"/>
      <c r="F86" s="196"/>
      <c r="G86" s="181"/>
      <c r="H86" s="190"/>
      <c r="I86" s="181"/>
      <c r="J86" s="181"/>
      <c r="K86" s="181"/>
      <c r="L86" s="181"/>
      <c r="M86" s="181"/>
      <c r="N86" s="181"/>
      <c r="O86" s="181"/>
      <c r="P86" s="181"/>
      <c r="Q86" s="181"/>
      <c r="R86" s="181"/>
      <c r="S86" s="181"/>
      <c r="T86" s="181"/>
      <c r="U86" s="181"/>
      <c r="V86" s="181"/>
      <c r="W86" s="190"/>
      <c r="X86" s="17"/>
      <c r="Y86" s="17"/>
      <c r="Z86" s="17"/>
      <c r="AA86" s="17"/>
      <c r="AB86" s="17"/>
      <c r="AC86" s="17"/>
      <c r="AD86" s="17"/>
      <c r="AE86" s="17"/>
      <c r="AF86" s="17"/>
      <c r="AG86" s="17"/>
    </row>
    <row r="87" spans="1:33">
      <c r="A87" s="17"/>
      <c r="B87" s="196"/>
      <c r="C87" s="22"/>
      <c r="D87" s="23"/>
      <c r="E87" s="23"/>
      <c r="F87" s="196"/>
      <c r="G87" s="181"/>
      <c r="H87" s="190"/>
      <c r="I87" s="181"/>
      <c r="J87" s="181"/>
      <c r="K87" s="181"/>
      <c r="L87" s="181"/>
      <c r="M87" s="181"/>
      <c r="N87" s="181"/>
      <c r="O87" s="181"/>
      <c r="P87" s="181"/>
      <c r="Q87" s="181"/>
      <c r="R87" s="181"/>
      <c r="S87" s="181"/>
      <c r="T87" s="181"/>
      <c r="U87" s="181"/>
      <c r="V87" s="181"/>
      <c r="W87" s="190"/>
      <c r="X87" s="17"/>
      <c r="Y87" s="17"/>
      <c r="Z87" s="17"/>
      <c r="AA87" s="17"/>
      <c r="AB87" s="17"/>
      <c r="AC87" s="17"/>
      <c r="AD87" s="17"/>
      <c r="AE87" s="17"/>
      <c r="AF87" s="17"/>
      <c r="AG87" s="17"/>
    </row>
    <row r="88" spans="1:33">
      <c r="A88" s="17"/>
      <c r="B88" s="196"/>
      <c r="C88" s="22"/>
      <c r="D88" s="23"/>
      <c r="E88" s="23"/>
      <c r="F88" s="196"/>
      <c r="G88" s="181"/>
      <c r="H88" s="190"/>
      <c r="I88" s="181"/>
      <c r="J88" s="181"/>
      <c r="K88" s="181"/>
      <c r="L88" s="181"/>
      <c r="M88" s="181"/>
      <c r="N88" s="181"/>
      <c r="O88" s="181"/>
      <c r="P88" s="181"/>
      <c r="Q88" s="181"/>
      <c r="R88" s="181"/>
      <c r="S88" s="181"/>
      <c r="T88" s="181"/>
      <c r="U88" s="181"/>
      <c r="V88" s="181"/>
      <c r="W88" s="190"/>
      <c r="X88" s="17"/>
      <c r="Y88" s="17"/>
      <c r="Z88" s="17"/>
      <c r="AA88" s="17"/>
      <c r="AB88" s="17"/>
      <c r="AC88" s="17"/>
      <c r="AD88" s="17"/>
      <c r="AE88" s="17"/>
      <c r="AF88" s="17"/>
      <c r="AG88" s="17"/>
    </row>
    <row r="89" spans="1:33">
      <c r="A89" s="17"/>
      <c r="B89" s="196"/>
      <c r="C89" s="22"/>
      <c r="D89" s="23"/>
      <c r="E89" s="23"/>
      <c r="F89" s="196"/>
      <c r="G89" s="181"/>
      <c r="H89" s="190"/>
      <c r="I89" s="181"/>
      <c r="J89" s="181"/>
      <c r="K89" s="181"/>
      <c r="L89" s="181"/>
      <c r="M89" s="181"/>
      <c r="N89" s="181"/>
      <c r="O89" s="181"/>
      <c r="P89" s="181"/>
      <c r="Q89" s="181"/>
      <c r="R89" s="181"/>
      <c r="S89" s="181"/>
      <c r="T89" s="181"/>
      <c r="U89" s="181"/>
      <c r="V89" s="181"/>
      <c r="W89" s="190"/>
      <c r="X89" s="17"/>
      <c r="Y89" s="17"/>
      <c r="Z89" s="17"/>
      <c r="AA89" s="17"/>
      <c r="AB89" s="17"/>
      <c r="AC89" s="17"/>
      <c r="AD89" s="17"/>
      <c r="AE89" s="17"/>
      <c r="AF89" s="17"/>
      <c r="AG89" s="17"/>
    </row>
    <row r="90" spans="1:33">
      <c r="A90" s="17"/>
      <c r="B90" s="196"/>
      <c r="C90" s="22"/>
      <c r="D90" s="23"/>
      <c r="E90" s="23"/>
      <c r="F90" s="196"/>
      <c r="G90" s="181"/>
      <c r="H90" s="190"/>
      <c r="I90" s="181"/>
      <c r="J90" s="181"/>
      <c r="K90" s="181"/>
      <c r="L90" s="181"/>
      <c r="M90" s="181"/>
      <c r="N90" s="181"/>
      <c r="O90" s="181"/>
      <c r="P90" s="181"/>
      <c r="Q90" s="181"/>
      <c r="R90" s="181"/>
      <c r="S90" s="181"/>
      <c r="T90" s="181"/>
      <c r="U90" s="181"/>
      <c r="V90" s="181"/>
      <c r="W90" s="190"/>
      <c r="X90" s="17"/>
      <c r="Y90" s="17"/>
      <c r="Z90" s="17"/>
      <c r="AA90" s="17"/>
      <c r="AB90" s="17"/>
      <c r="AC90" s="17"/>
      <c r="AD90" s="17"/>
      <c r="AE90" s="17"/>
      <c r="AF90" s="17"/>
      <c r="AG90" s="17"/>
    </row>
    <row r="91" spans="1:33">
      <c r="A91" s="17"/>
      <c r="B91" s="196"/>
      <c r="C91" s="22"/>
      <c r="D91" s="23"/>
      <c r="E91" s="23"/>
      <c r="F91" s="196"/>
      <c r="G91" s="181"/>
      <c r="H91" s="190"/>
      <c r="I91" s="181"/>
      <c r="J91" s="181"/>
      <c r="K91" s="181"/>
      <c r="L91" s="181"/>
      <c r="M91" s="181"/>
      <c r="N91" s="181"/>
      <c r="O91" s="181"/>
      <c r="P91" s="181"/>
      <c r="Q91" s="181"/>
      <c r="R91" s="181"/>
      <c r="S91" s="181"/>
      <c r="T91" s="181"/>
      <c r="U91" s="181"/>
      <c r="V91" s="181"/>
      <c r="W91" s="190"/>
      <c r="X91" s="17"/>
      <c r="Y91" s="17"/>
      <c r="Z91" s="17"/>
      <c r="AA91" s="17"/>
      <c r="AB91" s="17"/>
      <c r="AC91" s="17"/>
      <c r="AD91" s="17"/>
      <c r="AE91" s="17"/>
      <c r="AF91" s="17"/>
      <c r="AG91" s="17"/>
    </row>
    <row r="92" spans="1:33">
      <c r="A92" s="17"/>
      <c r="B92" s="196"/>
      <c r="C92" s="22"/>
      <c r="D92" s="23"/>
      <c r="E92" s="23"/>
      <c r="F92" s="196"/>
      <c r="G92" s="181"/>
      <c r="H92" s="190"/>
      <c r="I92" s="181"/>
      <c r="J92" s="181"/>
      <c r="K92" s="181"/>
      <c r="L92" s="181"/>
      <c r="M92" s="181"/>
      <c r="N92" s="181"/>
      <c r="O92" s="181"/>
      <c r="P92" s="181"/>
      <c r="Q92" s="181"/>
      <c r="R92" s="181"/>
      <c r="S92" s="181"/>
      <c r="T92" s="181"/>
      <c r="U92" s="181"/>
      <c r="V92" s="181"/>
      <c r="W92" s="190"/>
      <c r="X92" s="17"/>
      <c r="Y92" s="17"/>
      <c r="Z92" s="17"/>
      <c r="AA92" s="17"/>
      <c r="AB92" s="17"/>
      <c r="AC92" s="17"/>
      <c r="AD92" s="17"/>
      <c r="AE92" s="17"/>
      <c r="AF92" s="17"/>
      <c r="AG92" s="17"/>
    </row>
    <row r="93" spans="1:33">
      <c r="A93" s="17"/>
      <c r="B93" s="196"/>
      <c r="C93" s="22"/>
      <c r="D93" s="23"/>
      <c r="E93" s="23"/>
      <c r="F93" s="196"/>
      <c r="G93" s="181"/>
      <c r="H93" s="190"/>
      <c r="I93" s="181"/>
      <c r="J93" s="181"/>
      <c r="K93" s="181"/>
      <c r="L93" s="181"/>
      <c r="M93" s="181"/>
      <c r="N93" s="181"/>
      <c r="O93" s="181"/>
      <c r="P93" s="181"/>
      <c r="Q93" s="181"/>
      <c r="R93" s="181"/>
      <c r="S93" s="181"/>
      <c r="T93" s="181"/>
      <c r="U93" s="181"/>
      <c r="V93" s="181"/>
      <c r="W93" s="190"/>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2" fitToWidth="2" fitToHeight="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5" customHeight="1" thickBot="1">
      <c r="A2" s="70"/>
      <c r="B2" s="331"/>
      <c r="C2" s="332">
        <v>16</v>
      </c>
      <c r="D2" s="157" t="s">
        <v>120</v>
      </c>
      <c r="E2" s="16"/>
      <c r="F2" s="17"/>
      <c r="G2" s="219">
        <v>8</v>
      </c>
      <c r="H2" s="157" t="s">
        <v>120</v>
      </c>
      <c r="I2" s="16"/>
      <c r="J2" s="17"/>
      <c r="K2" s="219">
        <v>4</v>
      </c>
      <c r="L2" s="157" t="s">
        <v>134</v>
      </c>
      <c r="M2" s="17"/>
      <c r="N2" s="17"/>
      <c r="O2" s="219">
        <v>2</v>
      </c>
      <c r="P2" s="157" t="s">
        <v>132</v>
      </c>
      <c r="Q2" s="17"/>
      <c r="R2" s="17"/>
      <c r="S2" s="219">
        <v>1</v>
      </c>
      <c r="T2" s="178" t="s">
        <v>133</v>
      </c>
      <c r="U2" s="17"/>
      <c r="V2" s="17"/>
      <c r="W2" s="17"/>
      <c r="X2" s="17"/>
      <c r="Y2" s="17"/>
      <c r="Z2" s="16"/>
      <c r="AA2" s="17"/>
    </row>
    <row r="3" spans="1:30" ht="28.95" customHeight="1" thickBot="1">
      <c r="A3" s="17"/>
      <c r="B3" s="33"/>
      <c r="C3" s="338"/>
      <c r="D3" s="371" t="s">
        <v>447</v>
      </c>
      <c r="E3" s="374" t="str">
        <f ca="1">IF(OR(TRIM(D4)="-",TRIM(D5)="-"),"",VLOOKUP(MIN(C4,C5),Hřiště!$B$11:$E$42,4,0))</f>
        <v/>
      </c>
      <c r="F3" s="80"/>
      <c r="G3" s="80"/>
      <c r="H3" s="125"/>
      <c r="I3" s="82"/>
      <c r="J3" s="80"/>
      <c r="K3" s="80"/>
      <c r="L3" s="125"/>
      <c r="M3" s="82"/>
      <c r="N3" s="80"/>
      <c r="O3" s="80"/>
      <c r="P3" s="125"/>
      <c r="Q3" s="82"/>
      <c r="R3" s="80"/>
      <c r="S3" s="80"/>
      <c r="T3" s="86"/>
      <c r="U3" s="281"/>
      <c r="V3" s="16"/>
      <c r="W3" s="17"/>
      <c r="X3" s="17"/>
      <c r="Y3" s="17"/>
      <c r="Z3" s="16"/>
      <c r="AA3" s="17"/>
    </row>
    <row r="4" spans="1:30" ht="18" thickBot="1">
      <c r="A4" s="116" t="str">
        <f ca="1">VLOOKUP(C4,Postupy!$A$3:$C$18,3,0)</f>
        <v>A1</v>
      </c>
      <c r="B4" s="17"/>
      <c r="C4" s="108">
        <v>1</v>
      </c>
      <c r="D4" s="333" t="str">
        <f ca="1">VLOOKUP(C4,Postupy!$A$3:$AT$18,46,0)</f>
        <v>1 Carreau Brno - Michálek Tomáš</v>
      </c>
      <c r="E4" s="155">
        <f ca="1">VLOOKUP(C4,Postupy!$A$3:$AU$18,47,0)</f>
        <v>13</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VLOOKUP(C5,Postupy!$A$3:$C$18,3,0)</f>
        <v>P1</v>
      </c>
      <c r="B5" s="17"/>
      <c r="C5" s="110">
        <v>16</v>
      </c>
      <c r="D5" s="333" t="str">
        <f ca="1">VLOOKUP(C5,Postupy!$A$3:$AT$18,46,0)</f>
        <v>18 1. KPK Vrchlabí - Brázda Vladimír</v>
      </c>
      <c r="E5" s="156">
        <f ca="1">VLOOKUP(C5,Postupy!$A$3:$AU$18,47,0)</f>
        <v>8</v>
      </c>
      <c r="F5" s="21"/>
      <c r="G5" s="26"/>
      <c r="H5" s="371" t="s">
        <v>447</v>
      </c>
      <c r="I5" s="374"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7"/>
      <c r="B6" s="22"/>
      <c r="C6" s="28"/>
      <c r="D6" s="282"/>
      <c r="E6" s="28"/>
      <c r="F6" s="17"/>
      <c r="G6" s="108">
        <v>1</v>
      </c>
      <c r="H6" s="109" t="str">
        <f ca="1">IF(OR(TRIM(D4)="-",TRIM(D5)="-"), IF(TRIM(D4)="-",D5,D4),IF(AND(E4="",E5="")," ",IF(N(E4)=N(E5)," ",IF(N(E4)&gt;N(E5),D4,D5))))</f>
        <v>1 Carreau Brno - Michálek Tomáš</v>
      </c>
      <c r="I6" s="155">
        <f ca="1">VLOOKUP(G6,Postupy!$A$3:$AW$18,49,0)</f>
        <v>1</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4"/>
      <c r="B7" s="33"/>
      <c r="C7" s="17"/>
      <c r="D7" s="371" t="s">
        <v>447</v>
      </c>
      <c r="E7" s="374" t="str">
        <f ca="1">IF(OR(TRIM(D8)="-",TRIM(D9)="-"),"",VLOOKUP(MIN(C8,C9),Hřiště!$B$11:$E$42,4,0))</f>
        <v/>
      </c>
      <c r="F7" s="17"/>
      <c r="G7" s="110">
        <v>8</v>
      </c>
      <c r="H7" s="111" t="str">
        <f ca="1">IF(OR(TRIM(D8)="-",TRIM(D9)="-"), IF(TRIM(D8)="-",D9,D8),IF(AND(E8="",E9="")," ",IF(N(E8)=N(E9)," ",IF(N(E8)&gt;N(E9),D8,D9))))</f>
        <v>7 HRODE KRUMSÍN - Motl Bohuslav</v>
      </c>
      <c r="I7" s="156">
        <f ca="1">VLOOKUP(G7,Postupy!$A$3:$AW$18,49,0)</f>
        <v>0</v>
      </c>
      <c r="J7" s="21"/>
      <c r="K7" s="26"/>
      <c r="L7" s="36"/>
      <c r="M7" s="16"/>
      <c r="N7" s="17"/>
      <c r="O7" s="17"/>
      <c r="P7" s="17"/>
      <c r="Q7" s="17"/>
      <c r="R7" s="17"/>
      <c r="S7" s="17"/>
      <c r="T7" s="17"/>
      <c r="U7" s="17"/>
      <c r="V7" s="16"/>
      <c r="W7" s="17"/>
      <c r="X7" s="17"/>
      <c r="Y7" s="17"/>
      <c r="Z7" s="16"/>
      <c r="AA7" s="17"/>
      <c r="AB7" s="17"/>
      <c r="AC7" s="17"/>
      <c r="AD7" s="17"/>
    </row>
    <row r="8" spans="1:30" ht="18" thickBot="1">
      <c r="A8" s="116" t="str">
        <f ca="1">VLOOKUP(C8,Postupy!$A$3:$C$18,3,0)</f>
        <v>I1</v>
      </c>
      <c r="B8" s="17"/>
      <c r="C8" s="108">
        <v>9</v>
      </c>
      <c r="D8" s="333" t="str">
        <f ca="1">VLOOKUP(C8,Postupy!$A$3:$AT$18,46,0)</f>
        <v>41 PC Sokol PP Hr. Králové - Melgr Jan</v>
      </c>
      <c r="E8" s="155">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18.899999999999999" thickTop="1" thickBot="1">
      <c r="A9" s="116" t="str">
        <f ca="1">VLOOKUP(C9,Postupy!$A$3:$C$18,3,0)</f>
        <v>H1</v>
      </c>
      <c r="B9" s="17"/>
      <c r="C9" s="110">
        <v>8</v>
      </c>
      <c r="D9" s="333" t="str">
        <f ca="1">VLOOKUP(C9,Postupy!$A$3:$AT$18,46,0)</f>
        <v>7 HRODE KRUMSÍN - Motl Bohuslav</v>
      </c>
      <c r="E9" s="156">
        <f ca="1">VLOOKUP(C9,Postupy!$A$3:$AU$18,47,0)</f>
        <v>1</v>
      </c>
      <c r="F9" s="28"/>
      <c r="G9" s="17"/>
      <c r="H9" s="66"/>
      <c r="I9" s="17"/>
      <c r="J9" s="17"/>
      <c r="K9" s="26"/>
      <c r="L9" s="371" t="s">
        <v>447</v>
      </c>
      <c r="M9" s="374" t="str">
        <f ca="1">IF(OR(TRIM(L10)="-",TRIM(L11)="-"),"",VLOOKUP(MIN(K10,K11),Hřiště!$B$11:$E$42,4,0))</f>
        <v/>
      </c>
      <c r="N9" s="17"/>
      <c r="O9" s="17"/>
      <c r="P9" s="17"/>
      <c r="Q9" s="17"/>
      <c r="R9" s="17"/>
      <c r="S9" s="17"/>
      <c r="T9" s="18"/>
      <c r="U9" s="17"/>
      <c r="V9" s="17"/>
      <c r="W9" s="17"/>
      <c r="X9" s="17"/>
      <c r="Y9" s="17"/>
      <c r="Z9" s="17"/>
      <c r="AA9" s="17"/>
      <c r="AB9" s="17"/>
    </row>
    <row r="10" spans="1:30" ht="18" thickBot="1">
      <c r="A10" s="107"/>
      <c r="B10" s="84"/>
      <c r="C10" s="85"/>
      <c r="D10" s="65"/>
      <c r="E10" s="17"/>
      <c r="F10" s="17"/>
      <c r="G10" s="17"/>
      <c r="H10" s="67"/>
      <c r="I10" s="18"/>
      <c r="J10" s="18"/>
      <c r="K10" s="108">
        <v>1</v>
      </c>
      <c r="L10" s="109" t="str">
        <f ca="1">IF(OR(TRIM(H6)="-",TRIM(H7)="-"), IF(TRIM(H6)="-",H7,H6),IF(AND(I6="",I7="")," ",IF(N(I6)=N(I7)," ",IF(N(I6)&gt;N(I7),H6,H7))))</f>
        <v>1 Carreau Brno - Michálek Tomáš</v>
      </c>
      <c r="M10" s="155">
        <f ca="1">VLOOKUP(K10,Postupy!$A$3:$AY$18,51,0)</f>
        <v>1</v>
      </c>
      <c r="N10" s="18"/>
      <c r="O10" s="29"/>
      <c r="P10" s="29"/>
      <c r="Q10" s="29"/>
      <c r="R10" s="17"/>
      <c r="S10" s="18"/>
      <c r="T10" s="17"/>
      <c r="U10" s="17"/>
      <c r="V10" s="17"/>
      <c r="W10" s="17"/>
      <c r="X10" s="17"/>
      <c r="Y10" s="17"/>
      <c r="Z10" s="17"/>
      <c r="AA10" s="17"/>
    </row>
    <row r="11" spans="1:30" ht="18.899999999999999" thickTop="1" thickBot="1">
      <c r="A11" s="104"/>
      <c r="B11" s="22"/>
      <c r="C11" s="17"/>
      <c r="D11" s="371" t="s">
        <v>447</v>
      </c>
      <c r="E11" s="374" t="str">
        <f ca="1">IF(OR(TRIM(D12)="-",TRIM(D13)="-"),"",VLOOKUP(MIN(C12,C13),Hřiště!$B$11:$E$42,4,0))</f>
        <v/>
      </c>
      <c r="F11" s="17"/>
      <c r="G11" s="17"/>
      <c r="H11" s="68"/>
      <c r="I11" s="18"/>
      <c r="J11" s="18"/>
      <c r="K11" s="110">
        <v>4</v>
      </c>
      <c r="L11" s="111" t="str">
        <f ca="1">IF(OR(TRIM(H14)="-",TRIM(H15)="-"), IF(TRIM(H14)="-",H15,H14),IF(AND(I14="",I15="")," ",IF(N(I14)=N(I15)," ",IF(N(I14)&gt;N(I15),H14,H15))))</f>
        <v>4 CdP Loděnice - Resl Jan</v>
      </c>
      <c r="M11" s="156">
        <f ca="1">VLOOKUP(K11,Postupy!$A$3:$AY$18,51,0)</f>
        <v>0</v>
      </c>
      <c r="N11" s="21"/>
      <c r="O11" s="283"/>
      <c r="P11" s="19"/>
      <c r="Q11" s="17"/>
      <c r="R11" s="17"/>
      <c r="S11" s="17"/>
      <c r="T11" s="17"/>
      <c r="U11" s="17"/>
      <c r="V11" s="17"/>
      <c r="W11" s="17"/>
      <c r="X11" s="17"/>
      <c r="Y11" s="16"/>
      <c r="Z11" s="17"/>
      <c r="AA11" s="17"/>
      <c r="AB11" s="17"/>
      <c r="AC11" s="18"/>
    </row>
    <row r="12" spans="1:30" ht="18.45" thickTop="1" thickBot="1">
      <c r="A12" s="116" t="str">
        <f ca="1">VLOOKUP(C12,Postupy!$A$3:$C$18,3,0)</f>
        <v>E1</v>
      </c>
      <c r="B12" s="17"/>
      <c r="C12" s="108">
        <v>5</v>
      </c>
      <c r="D12" s="333" t="str">
        <f ca="1">VLOOKUP(C12,Postupy!$A$3:$AT$18,46,0)</f>
        <v>5 TOP - ORLOVÁ - Bačo David</v>
      </c>
      <c r="E12" s="155">
        <f ca="1">VLOOKUP(C12,Postupy!$A$3:$AU$18,47,0)</f>
        <v>1</v>
      </c>
      <c r="F12" s="20"/>
      <c r="G12" s="17"/>
      <c r="H12" s="68"/>
      <c r="I12" s="18"/>
      <c r="J12" s="24"/>
      <c r="K12" s="16"/>
      <c r="L12" s="66"/>
      <c r="M12" s="18"/>
      <c r="N12" s="18"/>
      <c r="O12" s="283"/>
      <c r="P12" s="19"/>
      <c r="Q12" s="18"/>
      <c r="R12" s="17"/>
      <c r="S12" s="18"/>
      <c r="T12" s="17"/>
      <c r="U12" s="17"/>
      <c r="V12" s="17"/>
      <c r="W12" s="17"/>
      <c r="X12" s="17"/>
      <c r="Y12" s="16"/>
      <c r="Z12" s="17"/>
      <c r="AA12" s="17"/>
      <c r="AB12" s="17"/>
      <c r="AC12" s="17"/>
    </row>
    <row r="13" spans="1:30" ht="18.899999999999999" thickTop="1" thickBot="1">
      <c r="A13" s="116" t="str">
        <f ca="1">VLOOKUP(C13,Postupy!$A$3:$C$18,3,0)</f>
        <v>L1</v>
      </c>
      <c r="B13" s="17"/>
      <c r="C13" s="110">
        <v>12</v>
      </c>
      <c r="D13" s="333" t="str">
        <f ca="1">VLOOKUP(C13,Postupy!$A$3:$AT$18,46,0)</f>
        <v>22 SK Sahara Vědomice - Sekerešová Jindřiška</v>
      </c>
      <c r="E13" s="156">
        <f ca="1">VLOOKUP(C13,Postupy!$A$3:$AU$18,47,0)</f>
        <v>0</v>
      </c>
      <c r="F13" s="21"/>
      <c r="G13" s="26"/>
      <c r="H13" s="371" t="s">
        <v>447</v>
      </c>
      <c r="I13" s="374" t="str">
        <f ca="1">IF(OR(TRIM(H14)="-",TRIM(H15)="-"),"",VLOOKUP(MIN(G14,G15),Hřiště!$B$11:$E$42,4,0))</f>
        <v/>
      </c>
      <c r="J13" s="24"/>
      <c r="K13" s="16"/>
      <c r="L13" s="65"/>
      <c r="M13" s="18"/>
      <c r="N13" s="18"/>
      <c r="O13" s="283"/>
      <c r="P13" s="19"/>
      <c r="Q13" s="18"/>
      <c r="R13" s="17"/>
      <c r="S13" s="18"/>
      <c r="T13" s="17"/>
      <c r="U13" s="17"/>
      <c r="V13" s="17"/>
      <c r="W13" s="17"/>
      <c r="X13" s="17"/>
      <c r="Y13" s="17"/>
      <c r="Z13" s="17"/>
      <c r="AA13" s="17"/>
    </row>
    <row r="14" spans="1:30" ht="18.45" thickTop="1" thickBot="1">
      <c r="A14" s="107"/>
      <c r="B14" s="22"/>
      <c r="C14" s="17"/>
      <c r="D14" s="66"/>
      <c r="E14" s="17"/>
      <c r="F14" s="17"/>
      <c r="G14" s="108">
        <v>5</v>
      </c>
      <c r="H14" s="109" t="str">
        <f ca="1">IF(OR(TRIM(D12)="-",TRIM(D13)="-"), IF(TRIM(D12)="-",D13,D12),IF(AND(E12="",E13="")," ",IF(N(E12)=N(E13)," ",IF(N(E12)&gt;N(E13),D12,D13))))</f>
        <v>5 TOP - ORLOVÁ - Bačo David</v>
      </c>
      <c r="I14" s="155">
        <f ca="1">VLOOKUP(G14,Postupy!$A$3:$AW$18,49,0)</f>
        <v>2</v>
      </c>
      <c r="J14" s="27"/>
      <c r="K14" s="17"/>
      <c r="L14" s="68"/>
      <c r="M14" s="18"/>
      <c r="N14" s="18"/>
      <c r="O14" s="283"/>
      <c r="P14" s="19"/>
      <c r="Q14" s="17"/>
      <c r="R14" s="17"/>
      <c r="S14" s="17"/>
      <c r="T14" s="17"/>
      <c r="U14" s="18"/>
      <c r="V14" s="17"/>
      <c r="W14" s="17"/>
      <c r="X14" s="17"/>
      <c r="Y14" s="18"/>
      <c r="Z14" s="17"/>
      <c r="AA14" s="17"/>
    </row>
    <row r="15" spans="1:30" ht="18.899999999999999" thickTop="1" thickBot="1">
      <c r="A15" s="104"/>
      <c r="B15" s="33"/>
      <c r="C15" s="17"/>
      <c r="D15" s="371" t="s">
        <v>447</v>
      </c>
      <c r="E15" s="374" t="str">
        <f ca="1">IF(OR(TRIM(D16)="-",TRIM(D17)="-"),"",VLOOKUP(MIN(C16,C17),Hřiště!$B$11:$E$42,4,0))</f>
        <v/>
      </c>
      <c r="F15" s="17"/>
      <c r="G15" s="110">
        <v>4</v>
      </c>
      <c r="H15" s="111" t="str">
        <f ca="1">IF(OR(TRIM(D16)="-",TRIM(D17)="-"), IF(TRIM(D16)="-",D17,D16),IF(AND(E16="",E17="")," ",IF(N(E16)=N(E17)," ",IF(N(E16)&gt;N(E17),D16,D17))))</f>
        <v>4 CdP Loděnice - Resl Jan</v>
      </c>
      <c r="I15" s="156">
        <f ca="1">VLOOKUP(G15,Postupy!$A$3:$AW$18,49,0)</f>
        <v>13</v>
      </c>
      <c r="J15" s="28"/>
      <c r="K15" s="17"/>
      <c r="L15" s="68"/>
      <c r="M15" s="18"/>
      <c r="N15" s="18"/>
      <c r="O15" s="283"/>
      <c r="P15" s="19"/>
      <c r="Q15" s="17"/>
      <c r="R15" s="17"/>
      <c r="S15" s="17"/>
      <c r="T15" s="17"/>
      <c r="U15" s="18"/>
      <c r="V15" s="17"/>
      <c r="W15" s="17"/>
      <c r="X15" s="17"/>
      <c r="Y15" s="18"/>
      <c r="Z15" s="17"/>
      <c r="AA15" s="17"/>
    </row>
    <row r="16" spans="1:30" ht="18.899999999999999" thickTop="1" thickBot="1">
      <c r="A16" s="116" t="str">
        <f ca="1">VLOOKUP(C16,Postupy!$A$3:$C$18,3,0)</f>
        <v>M1</v>
      </c>
      <c r="B16" s="17"/>
      <c r="C16" s="108">
        <v>13</v>
      </c>
      <c r="D16" s="333" t="str">
        <f ca="1">VLOOKUP(C16,Postupy!$A$3:$AT$18,46,0)</f>
        <v>19 SKP Hranice VI-Valšovice - Gratcl Jiří</v>
      </c>
      <c r="E16" s="155">
        <f ca="1">VLOOKUP(C16,Postupy!$A$3:$AU$18,47,0)</f>
        <v>4</v>
      </c>
      <c r="F16" s="27"/>
      <c r="G16" s="26"/>
      <c r="H16" s="66"/>
      <c r="I16" s="16"/>
      <c r="J16" s="17"/>
      <c r="K16" s="17"/>
      <c r="L16" s="68"/>
      <c r="M16" s="18"/>
      <c r="N16" s="18"/>
      <c r="O16" s="283"/>
      <c r="P16" s="244" t="s">
        <v>132</v>
      </c>
      <c r="Q16" s="18"/>
      <c r="R16" s="17"/>
      <c r="S16" s="18"/>
      <c r="T16" s="35"/>
      <c r="U16" s="17"/>
      <c r="V16" s="17"/>
      <c r="W16" s="17"/>
      <c r="X16" s="17"/>
      <c r="Y16" s="17"/>
      <c r="Z16" s="17"/>
      <c r="AA16" s="17"/>
    </row>
    <row r="17" spans="1:29" ht="18.899999999999999" thickTop="1" thickBot="1">
      <c r="A17" s="116" t="str">
        <f ca="1">VLOOKUP(C17,Postupy!$A$3:$C$18,3,0)</f>
        <v>D1</v>
      </c>
      <c r="B17" s="17"/>
      <c r="C17" s="110">
        <v>4</v>
      </c>
      <c r="D17" s="333" t="str">
        <f ca="1">VLOOKUP(C17,Postupy!$A$3:$AT$18,46,0)</f>
        <v>4 CdP Loděnice - Resl Jan</v>
      </c>
      <c r="E17" s="156">
        <f ca="1">VLOOKUP(C17,Postupy!$A$3:$AU$18,47,0)</f>
        <v>13</v>
      </c>
      <c r="F17" s="28"/>
      <c r="G17" s="17"/>
      <c r="H17" s="66"/>
      <c r="I17" s="17"/>
      <c r="J17" s="17"/>
      <c r="K17" s="17"/>
      <c r="L17" s="68"/>
      <c r="M17" s="18"/>
      <c r="N17" s="18"/>
      <c r="O17" s="285"/>
      <c r="P17" s="371" t="s">
        <v>447</v>
      </c>
      <c r="Q17" s="374" t="str">
        <f ca="1">IF(OR(TRIM(P18)="-",TRIM(P19)="-"),"",VLOOKUP(MIN(O18,O19),Hřiště!$B$11:$E$42,4,0))</f>
        <v/>
      </c>
      <c r="R17" s="17"/>
      <c r="S17" s="18"/>
      <c r="T17" s="280"/>
      <c r="U17" s="17"/>
      <c r="V17" s="17"/>
      <c r="W17" s="17"/>
      <c r="X17" s="17"/>
      <c r="Y17" s="17"/>
      <c r="Z17" s="17"/>
      <c r="AA17" s="17"/>
    </row>
    <row r="18" spans="1:29" ht="18.45" thickTop="1" thickBot="1">
      <c r="A18" s="107"/>
      <c r="B18" s="22"/>
      <c r="C18" s="17"/>
      <c r="D18" s="66"/>
      <c r="E18" s="17"/>
      <c r="F18" s="17"/>
      <c r="G18" s="17"/>
      <c r="H18" s="69"/>
      <c r="I18" s="17"/>
      <c r="J18" s="17"/>
      <c r="K18" s="17"/>
      <c r="L18" s="69"/>
      <c r="M18" s="17"/>
      <c r="N18" s="17"/>
      <c r="O18" s="108">
        <v>1</v>
      </c>
      <c r="P18" s="109" t="str">
        <f ca="1">IF(OR(TRIM(L10)="-",TRIM(L11)="-"), IF(TRIM(L10)="-",L11,L10),IF(AND(M10="",M11="")," ",IF(N(M10)=N(M11)," ",IF(N(M10)&gt;N(M11),L10,L11))))</f>
        <v>1 Carreau Brno - Michálek Tomáš</v>
      </c>
      <c r="Q18" s="155">
        <f ca="1">VLOOKUP(O18,Postupy!$A$3:$BA$6,53,0)</f>
        <v>13</v>
      </c>
      <c r="R18" s="27"/>
      <c r="S18" s="39">
        <v>1</v>
      </c>
      <c r="T18" s="133" t="str">
        <f ca="1">IF(AND(Q18="",Q19="")," ",IF(N(Q18)=N(Q19)," ",IF(N(Q18)&gt;N(Q19),P18,P19)))</f>
        <v>1 Carreau Brno - Michálek Tomáš</v>
      </c>
      <c r="U18" s="40">
        <v>1</v>
      </c>
      <c r="V18" s="17"/>
      <c r="W18" s="17"/>
      <c r="X18" s="17"/>
      <c r="Y18" s="17"/>
      <c r="Z18" s="17"/>
      <c r="AA18" s="17"/>
    </row>
    <row r="19" spans="1:29" ht="18.899999999999999" thickTop="1" thickBot="1">
      <c r="A19" s="104"/>
      <c r="B19" s="33"/>
      <c r="C19" s="17"/>
      <c r="D19" s="371" t="s">
        <v>447</v>
      </c>
      <c r="E19" s="374" t="str">
        <f ca="1">IF(OR(TRIM(D20)="-",TRIM(D21)="-"),"",VLOOKUP(MIN(C20,C21),Hřiště!$B$11:$E$42,4,0))</f>
        <v/>
      </c>
      <c r="F19" s="17"/>
      <c r="G19" s="17"/>
      <c r="H19" s="69"/>
      <c r="I19" s="17"/>
      <c r="J19" s="17"/>
      <c r="K19" s="17"/>
      <c r="L19" s="69"/>
      <c r="M19" s="17"/>
      <c r="N19" s="17"/>
      <c r="O19" s="110">
        <v>2</v>
      </c>
      <c r="P19" s="111" t="str">
        <f ca="1">IF(OR(TRIM(L26)="-",TRIM(L27)="-"),IF(TRIM(L26)="-",L27,L26),IF(AND(M26="",M27="")," ",IF(N(M26)=N(M27)," ",IF(N(M26)&gt;N(M27),L26,L27))))</f>
        <v>29 Carreau Brno - Grepl Jiří</v>
      </c>
      <c r="Q19" s="156">
        <f ca="1">VLOOKUP(O19,Postupy!$A$3:$BA$6,53,0)</f>
        <v>3</v>
      </c>
      <c r="R19" s="17"/>
      <c r="S19" s="39">
        <v>2</v>
      </c>
      <c r="T19" s="131" t="str">
        <f ca="1">IF(AND(Q18="",Q19="")," ",IF(N(Q19)=N(Q18)," ",IF(N(Q19)&gt;N(Q18),P18,P19)))</f>
        <v>29 Carreau Brno - Grepl Jiří</v>
      </c>
      <c r="U19" s="130">
        <v>2</v>
      </c>
      <c r="V19" s="17"/>
      <c r="W19" s="17"/>
      <c r="X19" s="17"/>
      <c r="Y19" s="17"/>
      <c r="Z19" s="17"/>
      <c r="AA19" s="17"/>
    </row>
    <row r="20" spans="1:29" ht="18" thickBot="1">
      <c r="A20" s="116" t="str">
        <f ca="1">VLOOKUP(C20,Postupy!$A$3:$C$18,3,0)</f>
        <v>C1</v>
      </c>
      <c r="B20" s="17"/>
      <c r="C20" s="108">
        <v>3</v>
      </c>
      <c r="D20" s="333" t="str">
        <f ca="1">VLOOKUP(C20,Postupy!$A$3:$AT$18,46,0)</f>
        <v>29 Carreau Brno - Grepl Jiří</v>
      </c>
      <c r="E20" s="155">
        <f ca="1">VLOOKUP(C20,Postupy!$A$3:$AU$18,47,0)</f>
        <v>13</v>
      </c>
      <c r="F20" s="20"/>
      <c r="G20" s="17"/>
      <c r="H20" s="69"/>
      <c r="I20" s="17"/>
      <c r="J20" s="17"/>
      <c r="K20" s="17"/>
      <c r="L20" s="68"/>
      <c r="M20" s="18"/>
      <c r="N20" s="18"/>
      <c r="O20" s="26"/>
      <c r="P20" s="35"/>
      <c r="Q20" s="16"/>
      <c r="R20" s="17"/>
      <c r="S20" s="17"/>
      <c r="T20" s="17"/>
      <c r="U20" s="17"/>
      <c r="V20" s="17"/>
      <c r="W20" s="17"/>
      <c r="X20" s="17"/>
      <c r="Y20" s="17"/>
      <c r="Z20" s="17"/>
      <c r="AA20" s="17"/>
    </row>
    <row r="21" spans="1:29" ht="18.899999999999999" thickTop="1" thickBot="1">
      <c r="A21" s="116" t="str">
        <f ca="1">VLOOKUP(C21,Postupy!$A$3:$C$18,3,0)</f>
        <v>N1</v>
      </c>
      <c r="B21" s="17"/>
      <c r="C21" s="110">
        <v>14</v>
      </c>
      <c r="D21" s="333" t="str">
        <f ca="1">VLOOKUP(C21,Postupy!$A$3:$AT$18,46,0)</f>
        <v>51 UBU Únětice - Fuksa Petr</v>
      </c>
      <c r="E21" s="156">
        <f ca="1">VLOOKUP(C21,Postupy!$A$3:$AU$18,47,0)</f>
        <v>12</v>
      </c>
      <c r="F21" s="21"/>
      <c r="G21" s="26"/>
      <c r="H21" s="371" t="s">
        <v>447</v>
      </c>
      <c r="I21" s="374"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 thickBot="1">
      <c r="A22" s="107"/>
      <c r="B22" s="22"/>
      <c r="C22" s="17"/>
      <c r="D22" s="66"/>
      <c r="E22" s="17"/>
      <c r="F22" s="17"/>
      <c r="G22" s="108">
        <v>3</v>
      </c>
      <c r="H22" s="109" t="str">
        <f ca="1">IF(OR(TRIM(D20)="-",TRIM(D21)="-"), IF(TRIM(D20)="-",D21,D20),IF(AND(E20="",E21="")," ",IF(N(E20)=N(E21)," ",IF(N(E20)&gt;N(E21),D20,D21))))</f>
        <v>29 Carreau Brno - Grepl Jiří</v>
      </c>
      <c r="I22" s="155">
        <f ca="1">VLOOKUP(G22,Postupy!$A$3:$AW$18,49,0)</f>
        <v>13</v>
      </c>
      <c r="J22" s="20"/>
      <c r="K22" s="16"/>
      <c r="L22" s="68"/>
      <c r="M22" s="18"/>
      <c r="N22" s="18"/>
      <c r="O22" s="26"/>
      <c r="P22" s="16"/>
      <c r="Q22" s="16"/>
      <c r="R22" s="17"/>
      <c r="S22" s="17"/>
      <c r="T22" s="17"/>
      <c r="U22" s="17"/>
      <c r="V22" s="17"/>
      <c r="W22" s="17"/>
      <c r="X22" s="18"/>
      <c r="Y22" s="17"/>
      <c r="Z22" s="17"/>
    </row>
    <row r="23" spans="1:29" ht="18.899999999999999" thickTop="1" thickBot="1">
      <c r="A23" s="104"/>
      <c r="B23" s="33"/>
      <c r="C23" s="17"/>
      <c r="D23" s="371" t="s">
        <v>447</v>
      </c>
      <c r="E23" s="374" t="str">
        <f ca="1">IF(OR(TRIM(D24)="-",TRIM(D25)="-"),"",VLOOKUP(MIN(C24,C25),Hřiště!$B$11:$E$42,4,0))</f>
        <v/>
      </c>
      <c r="F23" s="17"/>
      <c r="G23" s="110">
        <v>6</v>
      </c>
      <c r="H23" s="111" t="str">
        <f ca="1">IF(OR(TRIM(D24)="-",TRIM(D25)="-"), IF(TRIM(D24)="-",D25,D24),IF(AND(E24="",E25="")," ",IF(N(E24)=N(E25)," ",IF(N(E24)&gt;N(E25),D24,D25))))</f>
        <v>21 Carreau Brno - Ferlay Franck</v>
      </c>
      <c r="I23" s="156">
        <f ca="1">VLOOKUP(G23,Postupy!$A$3:$AW$18,49,0)</f>
        <v>11</v>
      </c>
      <c r="J23" s="21"/>
      <c r="K23" s="26"/>
      <c r="L23" s="68"/>
      <c r="M23" s="18"/>
      <c r="N23" s="18"/>
      <c r="O23" s="26"/>
      <c r="P23" s="16"/>
      <c r="Q23" s="16"/>
      <c r="R23" s="17"/>
      <c r="S23" s="17"/>
      <c r="T23" s="17"/>
      <c r="U23" s="18"/>
      <c r="V23" s="17"/>
      <c r="W23" s="17"/>
      <c r="X23" s="18"/>
      <c r="Y23" s="17"/>
      <c r="Z23" s="17"/>
      <c r="AA23" s="18"/>
      <c r="AB23" s="17"/>
      <c r="AC23" s="17"/>
    </row>
    <row r="24" spans="1:29" ht="18" thickBot="1">
      <c r="A24" s="116" t="str">
        <f ca="1">VLOOKUP(C24,Postupy!$A$3:$C$18,3,0)</f>
        <v>K1</v>
      </c>
      <c r="B24" s="17"/>
      <c r="C24" s="108">
        <v>11</v>
      </c>
      <c r="D24" s="333" t="str">
        <f ca="1">VLOOKUP(C24,Postupy!$A$3:$AT$18,46,0)</f>
        <v>21 Carreau Brno - Ferlay Franck</v>
      </c>
      <c r="E24" s="155">
        <f ca="1">VLOOKUP(C24,Postupy!$A$3:$AU$18,47,0)</f>
        <v>1</v>
      </c>
      <c r="F24" s="27"/>
      <c r="G24" s="26"/>
      <c r="H24" s="66"/>
      <c r="I24" s="16"/>
      <c r="J24" s="17"/>
      <c r="K24" s="26"/>
      <c r="L24" s="68"/>
      <c r="M24" s="18"/>
      <c r="N24" s="18"/>
      <c r="O24" s="26"/>
      <c r="P24" s="16"/>
      <c r="Q24" s="16"/>
      <c r="R24" s="17"/>
      <c r="S24" s="17"/>
      <c r="T24" s="17"/>
      <c r="U24" s="17"/>
      <c r="V24" s="17"/>
      <c r="W24" s="17"/>
      <c r="X24" s="17"/>
      <c r="Y24" s="17"/>
      <c r="Z24" s="17"/>
      <c r="AA24" s="17"/>
    </row>
    <row r="25" spans="1:29" ht="18.899999999999999" thickTop="1" thickBot="1">
      <c r="A25" s="116" t="str">
        <f ca="1">VLOOKUP(C25,Postupy!$A$3:$C$18,3,0)</f>
        <v>F1</v>
      </c>
      <c r="B25" s="17"/>
      <c r="C25" s="110">
        <v>6</v>
      </c>
      <c r="D25" s="333" t="str">
        <f ca="1">VLOOKUP(C25,Postupy!$A$3:$AT$18,46,0)</f>
        <v>6 CdP Loděnice - Dlouhá Ivana</v>
      </c>
      <c r="E25" s="156">
        <f ca="1">VLOOKUP(C25,Postupy!$A$3:$AU$18,47,0)</f>
        <v>0</v>
      </c>
      <c r="F25" s="28"/>
      <c r="G25" s="17"/>
      <c r="H25" s="66"/>
      <c r="I25" s="17"/>
      <c r="J25" s="17"/>
      <c r="K25" s="26"/>
      <c r="L25" s="371" t="s">
        <v>447</v>
      </c>
      <c r="M25" s="374" t="str">
        <f ca="1">IF(OR(TRIM(L26)="-",TRIM(L27)="-"),"",VLOOKUP(MIN(K26,K27),Hřiště!$B$11:$E$42,4,0))</f>
        <v/>
      </c>
      <c r="N25" s="18"/>
      <c r="O25" s="26"/>
      <c r="P25" s="16"/>
      <c r="Q25" s="16"/>
      <c r="R25" s="17"/>
      <c r="S25" s="17"/>
      <c r="T25" s="17"/>
      <c r="U25" s="17"/>
      <c r="V25" s="17"/>
      <c r="W25" s="17"/>
      <c r="X25" s="17"/>
      <c r="Y25" s="17"/>
      <c r="Z25" s="17"/>
      <c r="AA25" s="17"/>
    </row>
    <row r="26" spans="1:29" ht="18" thickBot="1">
      <c r="A26" s="107"/>
      <c r="B26" s="22"/>
      <c r="C26" s="17"/>
      <c r="D26" s="66"/>
      <c r="E26" s="17"/>
      <c r="F26" s="17"/>
      <c r="G26" s="17"/>
      <c r="H26" s="68"/>
      <c r="I26" s="18"/>
      <c r="J26" s="18"/>
      <c r="K26" s="108">
        <v>3</v>
      </c>
      <c r="L26" s="109" t="str">
        <f ca="1">IF(OR(TRIM(H22)="-",TRIM(H23)="-"), IF(TRIM(H22)="-",H23,H22),IF(AND(I22="",I23="")," ",IF(N(I22)=N(I23)," ",IF(N(I22)&gt;N(I23),H22,H23))))</f>
        <v>29 Carreau Brno - Grepl Jiří</v>
      </c>
      <c r="M26" s="155">
        <f ca="1">VLOOKUP(K26,Postupy!$A$3:$AY$18,51,0)</f>
        <v>1</v>
      </c>
      <c r="N26" s="27"/>
      <c r="O26" s="26"/>
      <c r="P26" s="16"/>
      <c r="Q26" s="16"/>
      <c r="R26" s="17"/>
      <c r="S26" s="17"/>
      <c r="T26" s="17"/>
      <c r="U26" s="17"/>
      <c r="V26" s="17"/>
      <c r="W26" s="17"/>
      <c r="X26" s="17"/>
      <c r="Y26" s="17"/>
      <c r="Z26" s="17"/>
      <c r="AA26" s="17"/>
    </row>
    <row r="27" spans="1:29" ht="18.899999999999999" thickTop="1" thickBot="1">
      <c r="A27" s="104"/>
      <c r="B27" s="33"/>
      <c r="C27" s="17"/>
      <c r="D27" s="371" t="s">
        <v>447</v>
      </c>
      <c r="E27" s="374" t="str">
        <f ca="1">IF(OR(TRIM(D28)="-",TRIM(D29)="-"),"",VLOOKUP(MIN(C28,C29),Hřiště!$B$11:$E$42,4,0))</f>
        <v/>
      </c>
      <c r="F27" s="17"/>
      <c r="G27" s="17"/>
      <c r="H27" s="68"/>
      <c r="I27" s="18"/>
      <c r="J27" s="18"/>
      <c r="K27" s="110">
        <v>2</v>
      </c>
      <c r="L27" s="111" t="str">
        <f ca="1">IF(OR(TRIM(H30)="-",TRIM(H31)="-"), IF(TRIM(H30)="-",H31,H30),IF(AND(I30="",I31="")," ",IF(N(I30)=N(I31)," ",IF(N(I30)&gt;N(I31),H30,H31))))</f>
        <v>26 HAVAJ CB - Koreš st. Jiří</v>
      </c>
      <c r="M27" s="156">
        <f ca="1">VLOOKUP(K27,Postupy!$A$3:$AY$18,51,0)</f>
        <v>0</v>
      </c>
      <c r="N27" s="28"/>
      <c r="O27" s="17"/>
      <c r="P27" s="17"/>
      <c r="Q27" s="17"/>
      <c r="R27" s="17"/>
      <c r="S27" s="17"/>
      <c r="T27" s="17"/>
      <c r="U27" s="17"/>
      <c r="V27" s="17"/>
      <c r="W27" s="17"/>
      <c r="X27" s="17"/>
      <c r="Y27" s="17"/>
      <c r="Z27" s="17"/>
      <c r="AA27" s="17"/>
    </row>
    <row r="28" spans="1:29" ht="18" thickBot="1">
      <c r="A28" s="116" t="str">
        <f ca="1">VLOOKUP(C28,Postupy!$A$3:$C$18,3,0)</f>
        <v>G1</v>
      </c>
      <c r="B28" s="17"/>
      <c r="C28" s="108">
        <v>7</v>
      </c>
      <c r="D28" s="333" t="str">
        <f ca="1">VLOOKUP(C28,Postupy!$A$3:$AT$18,46,0)</f>
        <v>26 HAVAJ CB - Koreš st. Jiří</v>
      </c>
      <c r="E28" s="155">
        <f ca="1">VLOOKUP(C28,Postupy!$A$3:$AU$18,47,0)</f>
        <v>13</v>
      </c>
      <c r="F28" s="20"/>
      <c r="G28" s="17"/>
      <c r="H28" s="68"/>
      <c r="I28" s="18"/>
      <c r="J28" s="24"/>
      <c r="K28" s="16"/>
      <c r="L28" s="35"/>
      <c r="M28" s="16"/>
      <c r="N28" s="17"/>
      <c r="O28" s="17"/>
      <c r="P28" s="17"/>
      <c r="Q28" s="17"/>
      <c r="R28" s="17"/>
      <c r="S28" s="17"/>
      <c r="T28" s="17"/>
      <c r="U28" s="17"/>
      <c r="V28" s="17"/>
      <c r="W28" s="17"/>
      <c r="X28" s="17"/>
      <c r="Y28" s="17"/>
      <c r="Z28" s="17"/>
      <c r="AA28" s="17"/>
    </row>
    <row r="29" spans="1:29" ht="18.899999999999999" thickTop="1" thickBot="1">
      <c r="A29" s="116" t="str">
        <f ca="1">VLOOKUP(C29,Postupy!$A$3:$C$18,3,0)</f>
        <v>J1</v>
      </c>
      <c r="B29" s="17"/>
      <c r="C29" s="110">
        <v>10</v>
      </c>
      <c r="D29" s="333" t="str">
        <f ca="1">VLOOKUP(C29,Postupy!$A$3:$AT$18,46,0)</f>
        <v>23 PLUK Jablonec - Lukáš Petr</v>
      </c>
      <c r="E29" s="156">
        <f ca="1">VLOOKUP(C29,Postupy!$A$3:$AU$18,47,0)</f>
        <v>5</v>
      </c>
      <c r="F29" s="21"/>
      <c r="G29" s="26"/>
      <c r="H29" s="371" t="s">
        <v>447</v>
      </c>
      <c r="I29" s="374" t="str">
        <f ca="1">IF(OR(TRIM(H30)="-",TRIM(H31)="-"),"",VLOOKUP(MIN(G30,G31),Hřiště!$B$11:$E$42,4,0))</f>
        <v/>
      </c>
      <c r="J29" s="24"/>
      <c r="K29" s="16"/>
      <c r="L29" s="35"/>
      <c r="M29" s="16"/>
      <c r="N29" s="17"/>
      <c r="O29" s="181"/>
      <c r="P29" s="242" t="s">
        <v>135</v>
      </c>
      <c r="Q29" s="181"/>
      <c r="R29" s="181"/>
      <c r="S29" s="181"/>
      <c r="T29" s="17"/>
      <c r="U29" s="17"/>
      <c r="V29" s="17"/>
      <c r="W29" s="17"/>
      <c r="X29" s="17"/>
      <c r="Y29" s="17"/>
      <c r="Z29" s="17"/>
      <c r="AA29" s="17"/>
    </row>
    <row r="30" spans="1:29" ht="18" thickBot="1">
      <c r="A30" s="107"/>
      <c r="B30" s="22"/>
      <c r="C30" s="17"/>
      <c r="D30" s="66"/>
      <c r="E30" s="17"/>
      <c r="F30" s="17"/>
      <c r="G30" s="108">
        <v>7</v>
      </c>
      <c r="H30" s="109" t="str">
        <f ca="1">IF(OR(TRIM(D28)="-",TRIM(D29)="-"), IF(TRIM(D28)="-",D29,D28),IF(AND(E28="",E29="")," ",IF(N(E28)=N(E29)," ",IF(N(E28)&gt;N(E29),D28,D29))))</f>
        <v>26 HAVAJ CB - Koreš st. Jiří</v>
      </c>
      <c r="I30" s="155">
        <f ca="1">VLOOKUP(G30,Postupy!$A$3:$AW$18,49,0)</f>
        <v>13</v>
      </c>
      <c r="J30" s="27"/>
      <c r="K30" s="17"/>
      <c r="L30" s="35"/>
      <c r="M30" s="17"/>
      <c r="N30" s="17"/>
      <c r="O30" s="181"/>
      <c r="P30" s="243" t="s">
        <v>136</v>
      </c>
      <c r="Q30" s="181"/>
      <c r="R30" s="181"/>
      <c r="S30" s="181"/>
      <c r="T30" s="17"/>
      <c r="U30" s="17"/>
      <c r="V30" s="17"/>
      <c r="W30" s="17"/>
      <c r="X30" s="17"/>
      <c r="Y30" s="17"/>
      <c r="Z30" s="17"/>
      <c r="AA30" s="17"/>
      <c r="AB30" s="17"/>
      <c r="AC30" s="17"/>
    </row>
    <row r="31" spans="1:29" ht="18.899999999999999" thickTop="1" thickBot="1">
      <c r="A31" s="104"/>
      <c r="B31" s="33"/>
      <c r="C31" s="17"/>
      <c r="D31" s="371" t="s">
        <v>447</v>
      </c>
      <c r="E31" s="374" t="str">
        <f ca="1">IF(OR(TRIM(D32)="-",TRIM(D33)="-"),"",VLOOKUP(MIN(C32,C33),Hřiště!$B$11:$E$42,4,0))</f>
        <v/>
      </c>
      <c r="F31" s="17"/>
      <c r="G31" s="110">
        <v>2</v>
      </c>
      <c r="H31" s="111" t="str">
        <f ca="1">IF(OR(TRIM(D32)="-",TRIM(D33)="-"), IF(TRIM(D32)="-",D33,D32),IF(AND(E32="",E33="")," ",IF(N(E32)=N(E33)," ",IF(N(E32)&gt;N(E33),D32,D33))))</f>
        <v>17 SK Sahara Vědomice - Demčíková Jiřina</v>
      </c>
      <c r="I31" s="156">
        <f ca="1">VLOOKUP(G31,Postupy!$A$3:$AW$18,49,0)</f>
        <v>5</v>
      </c>
      <c r="J31" s="28"/>
      <c r="K31" s="17"/>
      <c r="L31" s="35"/>
      <c r="M31" s="17"/>
      <c r="N31" s="17"/>
      <c r="O31" s="181"/>
      <c r="P31" s="371" t="s">
        <v>447</v>
      </c>
      <c r="Q31" s="374" t="str">
        <f ca="1">IF(OR(TRIM(P32)="-",TRIM(P33)="-"),"",VLOOKUP(MIN(O32,O33),Hřiště!$B$11:$E$42,4,0))</f>
        <v/>
      </c>
      <c r="R31" s="181"/>
      <c r="S31" s="181"/>
      <c r="T31" s="17"/>
      <c r="U31" s="17"/>
      <c r="V31" s="17"/>
      <c r="W31" s="17"/>
      <c r="X31" s="17"/>
      <c r="Y31" s="17"/>
      <c r="Z31" s="17"/>
      <c r="AA31" s="17"/>
      <c r="AB31" s="17"/>
      <c r="AC31" s="17"/>
    </row>
    <row r="32" spans="1:29" ht="18.45" thickTop="1" thickBot="1">
      <c r="A32" s="116" t="str">
        <f ca="1">VLOOKUP(C32,Postupy!$A$3:$C$18,3,0)</f>
        <v>O1</v>
      </c>
      <c r="B32" s="17"/>
      <c r="C32" s="108">
        <v>15</v>
      </c>
      <c r="D32" s="333" t="str">
        <f ca="1">VLOOKUP(C32,Postupy!$A$3:$AT$18,46,0)</f>
        <v>17 SK Sahara Vědomice - Demčíková Jiřina</v>
      </c>
      <c r="E32" s="155">
        <f ca="1">VLOOKUP(C32,Postupy!$A$3:$AU$18,47,0)</f>
        <v>13</v>
      </c>
      <c r="F32" s="27"/>
      <c r="G32" s="26"/>
      <c r="H32" s="35"/>
      <c r="I32" s="16"/>
      <c r="J32" s="17"/>
      <c r="K32" s="17"/>
      <c r="L32" s="17"/>
      <c r="M32" s="17"/>
      <c r="N32" s="17"/>
      <c r="O32" s="108">
        <v>4</v>
      </c>
      <c r="P32" s="109" t="str">
        <f ca="1">IF(OR(TRIM(L10)="-",TRIM(L11)="-"), IF(TRIM(L10)="-",L11,L10),IF(AND(M10="",M11="")," ",IF(N(M11)=N(M10)," ",IF(N(M11)&gt;N(M10),L10,L11))))</f>
        <v>4 CdP Loděnice - Resl Jan</v>
      </c>
      <c r="Q32" s="155">
        <f ca="1">VLOOKUP(O32,Postupy!$A$3:$BA$6,53,0)</f>
        <v>11</v>
      </c>
      <c r="R32" s="195"/>
      <c r="S32" s="39">
        <v>3</v>
      </c>
      <c r="T32" s="131" t="str">
        <f ca="1">IF(AND(Q32="",Q33="")," ",IF(N(Q32)=N(Q33)," ",IF(N(Q32)&gt;N(Q33),P32,P33)))</f>
        <v>26 HAVAJ CB - Koreš st. Jiří</v>
      </c>
      <c r="U32" s="130">
        <v>3</v>
      </c>
      <c r="V32" s="17"/>
      <c r="W32" s="17"/>
      <c r="X32" s="17"/>
      <c r="Y32" s="17"/>
      <c r="Z32" s="17"/>
      <c r="AA32" s="17"/>
    </row>
    <row r="33" spans="1:27" ht="18.45" thickTop="1" thickBot="1">
      <c r="A33" s="116" t="str">
        <f ca="1">VLOOKUP(C33,Postupy!$A$3:$C$18,3,0)</f>
        <v>B1</v>
      </c>
      <c r="B33" s="17"/>
      <c r="C33" s="110">
        <v>2</v>
      </c>
      <c r="D33" s="333" t="str">
        <f ca="1">VLOOKUP(C33,Postupy!$A$3:$AT$18,46,0)</f>
        <v>2 PC Sokol Lipník - Froňková Kateřina</v>
      </c>
      <c r="E33" s="156">
        <f ca="1">VLOOKUP(C33,Postupy!$A$3:$AU$18,47,0)</f>
        <v>11</v>
      </c>
      <c r="F33" s="28"/>
      <c r="G33" s="17"/>
      <c r="H33" s="35"/>
      <c r="I33" s="17"/>
      <c r="J33" s="17"/>
      <c r="K33" s="17"/>
      <c r="L33" s="17"/>
      <c r="M33" s="17"/>
      <c r="N33" s="17"/>
      <c r="O33" s="110">
        <v>3</v>
      </c>
      <c r="P33" s="111" t="str">
        <f ca="1">IF(OR(TRIM(L26)="-",TRIM(L27)="-"), IF(TRIM(L26)="-",L27,L26),IF(AND(M26="",M27="")," ",IF(N(M27)=N(M26)," ",IF(N(M27)&gt;N(M26),L26,L27))))</f>
        <v>26 HAVAJ CB - Koreš st. Jiří</v>
      </c>
      <c r="Q33" s="156">
        <f ca="1">VLOOKUP(O33,Postupy!$A$3:$BA$6,53,0)</f>
        <v>13</v>
      </c>
      <c r="R33" s="183"/>
      <c r="S33" s="39">
        <v>4</v>
      </c>
      <c r="T33" s="131" t="str">
        <f ca="1">IF(AND(Q32="",Q33="")," ",IF(N(Q33)=N(Q32)," ",IF(N(Q33)&gt;N(Q32),P32,P33)))</f>
        <v>4 CdP Loděnice - Resl Jan</v>
      </c>
      <c r="U33" s="130">
        <v>4</v>
      </c>
      <c r="V33" s="17"/>
      <c r="W33" s="17"/>
      <c r="X33" s="17"/>
      <c r="Y33" s="17"/>
      <c r="Z33" s="17"/>
      <c r="AA33" s="17"/>
    </row>
    <row r="34" spans="1:27" ht="12.45" thickTop="1">
      <c r="A34" s="107"/>
      <c r="B34" s="84"/>
      <c r="C34" s="286">
        <f>SUM(C32:C33)</f>
        <v>17</v>
      </c>
      <c r="D34" s="216"/>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4"/>
      <c r="B35" s="84"/>
      <c r="C35" s="85"/>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25">
    <pageSetUpPr fitToPage="1"/>
  </sheetPr>
  <dimension ref="A1:AD57"/>
  <sheetViews>
    <sheetView topLeftCell="B1" workbookViewId="0">
      <pane xSplit="3" ySplit="3" topLeftCell="E4" activePane="bottomRight" state="frozen"/>
      <selection pane="topRight"/>
      <selection pane="bottomLeft"/>
      <selection pane="bottomRight" activeCell="M35" sqref="M35"/>
    </sheetView>
  </sheetViews>
  <sheetFormatPr defaultRowHeight="12"/>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A1" s="337"/>
      <c r="B1" s="28"/>
      <c r="C1" s="83"/>
      <c r="D1" s="83"/>
      <c r="E1" s="83"/>
      <c r="F1" s="83"/>
      <c r="G1" s="83"/>
      <c r="H1" s="83"/>
      <c r="I1" s="83"/>
      <c r="J1" s="83"/>
      <c r="K1" s="83"/>
      <c r="L1" s="83"/>
      <c r="M1" s="83"/>
      <c r="N1" s="83"/>
      <c r="O1" s="83"/>
      <c r="P1" s="83"/>
      <c r="R1" s="17"/>
      <c r="S1" s="17"/>
      <c r="T1" s="17"/>
      <c r="U1" s="17"/>
      <c r="V1" s="16"/>
      <c r="W1" s="17"/>
      <c r="X1" s="17"/>
      <c r="Y1" s="17"/>
      <c r="Z1" s="16"/>
      <c r="AA1" s="17"/>
    </row>
    <row r="2" spans="1:30" ht="32.5" customHeight="1" thickBot="1">
      <c r="A2" s="70"/>
      <c r="B2" s="22"/>
      <c r="C2" s="70"/>
      <c r="D2" s="158" t="s">
        <v>126</v>
      </c>
      <c r="E2" s="16"/>
      <c r="F2" s="17"/>
      <c r="G2" s="17"/>
      <c r="H2" s="17"/>
      <c r="I2" s="17"/>
      <c r="J2" s="17"/>
      <c r="K2" s="17"/>
      <c r="L2" s="17"/>
      <c r="M2" s="17"/>
      <c r="N2" s="17"/>
      <c r="O2" s="17"/>
      <c r="P2" s="17"/>
      <c r="Q2" s="17"/>
      <c r="R2" s="17"/>
      <c r="S2" s="17"/>
      <c r="T2" s="17"/>
      <c r="U2" s="17"/>
      <c r="V2" s="16"/>
      <c r="W2" s="17"/>
      <c r="X2" s="17"/>
      <c r="Y2" s="17"/>
      <c r="Z2" s="16"/>
      <c r="AA2" s="17"/>
    </row>
    <row r="3" spans="1:30" ht="28.95" customHeight="1" thickBot="1">
      <c r="A3" s="17"/>
      <c r="B3" s="33"/>
      <c r="C3" s="81"/>
      <c r="D3" s="371" t="s">
        <v>447</v>
      </c>
      <c r="E3" s="374" t="str">
        <f ca="1">IF(OR(TRIM(D4)="-",TRIM(D5)="-"),"",VLOOKUP(MIN(C4,C5),Hřiště!$B$11:$E$42,4,0))</f>
        <v/>
      </c>
      <c r="F3" s="126"/>
      <c r="G3" s="127"/>
      <c r="H3" s="125"/>
      <c r="I3" s="128"/>
      <c r="J3" s="126"/>
      <c r="K3" s="126"/>
      <c r="L3" s="125"/>
      <c r="M3" s="128"/>
      <c r="N3" s="126"/>
      <c r="O3" s="126"/>
      <c r="P3" s="125"/>
      <c r="Q3" s="82"/>
      <c r="R3" s="17"/>
      <c r="S3" s="17"/>
      <c r="T3" s="17"/>
      <c r="U3" s="17"/>
      <c r="V3" s="16"/>
      <c r="W3" s="17"/>
      <c r="X3" s="17"/>
      <c r="Y3" s="17"/>
      <c r="Z3" s="16"/>
      <c r="AA3" s="17"/>
    </row>
    <row r="4" spans="1:30" ht="18" thickBot="1">
      <c r="A4" s="116" t="str">
        <f ca="1">VLOOKUP(C4,Postupy!$A$3:$C$34,3,0)</f>
        <v>P1</v>
      </c>
      <c r="B4" s="22"/>
      <c r="C4" s="108">
        <v>16</v>
      </c>
      <c r="D4" s="333" t="str">
        <f ca="1">IF(OR(TRIM('KO16'!D4)="-",TRIM('KO16'!D5)="-"), IF(TRIM('KO16'!D4)="-",'KO16'!D4,'KO16'!D5),IF(AND('KO16'!E4="",'KO16'!E5="")," ",IF(N('KO16'!E4)=N('KO16'!E5)," ",IF(N('KO16'!E4)&gt;N('KO16'!E5),'KO16'!D5,'KO16'!D4))))</f>
        <v>18 1. KPK Vrchlabí - Brázda Vladimír</v>
      </c>
      <c r="E4" s="155">
        <v>13</v>
      </c>
      <c r="F4" s="20"/>
      <c r="G4" s="17"/>
      <c r="H4" s="38"/>
      <c r="I4" s="237"/>
      <c r="J4" s="17"/>
      <c r="K4" s="17"/>
      <c r="L4" s="35"/>
      <c r="M4" s="237"/>
      <c r="N4" s="17"/>
      <c r="O4" s="17"/>
      <c r="P4" s="17"/>
      <c r="Q4" s="17"/>
      <c r="R4" s="17"/>
      <c r="S4" s="17"/>
      <c r="T4" s="18"/>
      <c r="U4" s="17"/>
      <c r="V4" s="17"/>
      <c r="W4" s="17"/>
      <c r="X4" s="17"/>
      <c r="Y4" s="17"/>
      <c r="Z4" s="17"/>
      <c r="AA4" s="17"/>
      <c r="AB4" s="17"/>
    </row>
    <row r="5" spans="1:30" ht="18.899999999999999" thickTop="1" thickBot="1">
      <c r="A5" s="116" t="str">
        <f ca="1">VLOOKUP(C5,Postupy!$A$3:$C$34,3,0)</f>
        <v>I1</v>
      </c>
      <c r="B5" s="33"/>
      <c r="C5" s="110">
        <v>9</v>
      </c>
      <c r="D5" s="334" t="str">
        <f ca="1">IF(OR(TRIM('KO16'!D8)="-",TRIM('KO16'!D9)="-"), IF(TRIM('KO16'!D8)="-",'KO16'!D8,'KO16'!D9),IF(AND('KO16'!E8="",'KO16'!E9="")," ",IF(N('KO16'!E8)=N('KO16'!E9)," ",IF(N('KO16'!E8)&gt;N('KO16'!E9),'KO16'!D9,'KO16'!D8))))</f>
        <v>41 PC Sokol PP Hr. Králové - Melgr Jan</v>
      </c>
      <c r="E5" s="156">
        <v>12</v>
      </c>
      <c r="F5" s="21"/>
      <c r="G5" s="26"/>
      <c r="H5" s="371" t="s">
        <v>447</v>
      </c>
      <c r="I5" s="374" t="str">
        <f ca="1">IF(OR(TRIM(H6)="-",TRIM(H7)="-"),"",VLOOKUP(MIN(G6,G7),Hřiště!$B$11:$E$42,4,0))</f>
        <v/>
      </c>
      <c r="J5" s="17"/>
      <c r="K5" s="17"/>
      <c r="L5" s="35"/>
      <c r="M5" s="237"/>
      <c r="N5" s="17"/>
      <c r="O5" s="17"/>
      <c r="P5" s="17"/>
      <c r="Q5" s="17"/>
      <c r="R5" s="17"/>
      <c r="S5" s="17"/>
      <c r="T5" s="18"/>
      <c r="U5" s="17"/>
      <c r="V5" s="17"/>
      <c r="W5" s="17"/>
      <c r="X5" s="17"/>
      <c r="Y5" s="17"/>
      <c r="Z5" s="17"/>
      <c r="AA5" s="17"/>
      <c r="AB5" s="17"/>
    </row>
    <row r="6" spans="1:30" ht="18" thickBot="1">
      <c r="A6" s="107"/>
      <c r="B6" s="22"/>
      <c r="C6" s="17"/>
      <c r="D6" s="66"/>
      <c r="E6" s="237"/>
      <c r="F6" s="17"/>
      <c r="G6" s="108">
        <v>9</v>
      </c>
      <c r="H6" s="109" t="str">
        <f ca="1">IF(OR(TRIM(D4)="-",TRIM(D5)="-"), IF(TRIM(D4)="-",D5,D4),IF(AND(E4="",E5="")," ",IF(N(E4)=N(E5)," ",IF(N(E4)&gt;N(E5),D4,D5))))</f>
        <v>18 1. KPK Vrchlabí - Brázda Vladimír</v>
      </c>
      <c r="I6" s="155">
        <v>13</v>
      </c>
      <c r="J6" s="20"/>
      <c r="K6" s="16"/>
      <c r="L6" s="36"/>
      <c r="M6" s="238"/>
      <c r="N6" s="17"/>
      <c r="O6" s="17"/>
      <c r="P6" s="17"/>
      <c r="Q6" s="17"/>
      <c r="R6" s="17"/>
      <c r="S6" s="17"/>
      <c r="T6" s="17"/>
      <c r="U6" s="17"/>
      <c r="V6" s="16"/>
      <c r="W6" s="17"/>
      <c r="X6" s="17"/>
      <c r="Y6" s="17"/>
      <c r="Z6" s="16"/>
      <c r="AA6" s="17"/>
      <c r="AB6" s="17"/>
      <c r="AC6" s="17"/>
      <c r="AD6" s="18"/>
    </row>
    <row r="7" spans="1:30" ht="18.899999999999999" thickTop="1" thickBot="1">
      <c r="A7" s="104"/>
      <c r="B7" s="33"/>
      <c r="C7" s="17"/>
      <c r="D7" s="371" t="s">
        <v>447</v>
      </c>
      <c r="E7" s="374" t="str">
        <f ca="1">IF(OR(TRIM(D8)="-",TRIM(D9)="-"),"",VLOOKUP(MIN(C8,C9),Hřiště!$B$11:$E$42,4,0))</f>
        <v/>
      </c>
      <c r="F7" s="17"/>
      <c r="G7" s="110">
        <v>12</v>
      </c>
      <c r="H7" s="111" t="str">
        <f ca="1">IF(OR(TRIM(D8)="-",TRIM(D9)="-"), IF(TRIM(D8)="-",D9,D8),IF(AND(E8="",E9="")," ",IF(N(E8)=N(E9)," ",IF(N(E8)&gt;N(E9),D8,D9))))</f>
        <v>19 SKP Hranice VI-Valšovice - Gratcl Jiří</v>
      </c>
      <c r="I7" s="156">
        <v>3</v>
      </c>
      <c r="J7" s="21"/>
      <c r="K7" s="26"/>
      <c r="L7" s="36"/>
      <c r="M7" s="238"/>
      <c r="N7" s="17"/>
      <c r="O7" s="17"/>
      <c r="P7" s="17"/>
      <c r="Q7" s="17"/>
      <c r="R7" s="17"/>
      <c r="S7" s="17"/>
      <c r="T7" s="17"/>
      <c r="U7" s="17"/>
      <c r="V7" s="16"/>
      <c r="W7" s="17"/>
      <c r="X7" s="17"/>
      <c r="Y7" s="17"/>
      <c r="Z7" s="16"/>
      <c r="AA7" s="17"/>
      <c r="AB7" s="17"/>
      <c r="AC7" s="17"/>
      <c r="AD7" s="17"/>
    </row>
    <row r="8" spans="1:30" ht="18" thickBot="1">
      <c r="A8" s="116" t="str">
        <f ca="1">VLOOKUP(C8,Postupy!$A$3:$C$34,3,0)</f>
        <v>L1</v>
      </c>
      <c r="B8" s="22"/>
      <c r="C8" s="108">
        <v>12</v>
      </c>
      <c r="D8" s="333" t="str">
        <f ca="1">IF(OR(TRIM('KO16'!D12)="-",TRIM('KO16'!D13)="-"), IF(TRIM('KO16'!D12)="-",'KO16'!D12,'KO16'!D13),IF(AND('KO16'!E12="",'KO16'!E13="")," ",IF(N('KO16'!E12)=N('KO16'!E13)," ",IF(N('KO16'!E12)&gt;N('KO16'!E13),'KO16'!D13,'KO16'!D12))))</f>
        <v>22 SK Sahara Vědomice - Sekerešová Jindřiška</v>
      </c>
      <c r="E8" s="155">
        <v>3</v>
      </c>
      <c r="F8" s="27"/>
      <c r="G8" s="26"/>
      <c r="H8" s="66"/>
      <c r="I8" s="238"/>
      <c r="J8" s="17"/>
      <c r="K8" s="26"/>
      <c r="L8" s="36"/>
      <c r="M8" s="238"/>
      <c r="N8" s="17"/>
      <c r="O8" s="17"/>
      <c r="P8" s="17"/>
      <c r="Q8" s="17"/>
      <c r="R8" s="17"/>
      <c r="S8" s="17"/>
      <c r="T8" s="17"/>
      <c r="U8" s="17"/>
      <c r="V8" s="16"/>
      <c r="W8" s="17"/>
      <c r="X8" s="17"/>
      <c r="Y8" s="17"/>
      <c r="Z8" s="16"/>
      <c r="AA8" s="17"/>
      <c r="AB8" s="17"/>
      <c r="AC8" s="17"/>
      <c r="AD8" s="17"/>
    </row>
    <row r="9" spans="1:30" ht="18.899999999999999" thickTop="1" thickBot="1">
      <c r="A9" s="116" t="str">
        <f ca="1">VLOOKUP(C9,Postupy!$A$3:$C$34,3,0)</f>
        <v>M1</v>
      </c>
      <c r="B9" s="33"/>
      <c r="C9" s="110">
        <v>13</v>
      </c>
      <c r="D9" s="334" t="str">
        <f ca="1">IF(OR(TRIM('KO16'!D16)="-",TRIM('KO16'!D17)="-"), IF(TRIM('KO16'!D16)="-",'KO16'!D16,'KO16'!D17),IF(AND('KO16'!E16="",'KO16'!E17="")," ",IF(N('KO16'!E16)=N('KO16'!E17)," ",IF(N('KO16'!E16)&gt;N('KO16'!E17),'KO16'!D17,'KO16'!D16))))</f>
        <v>19 SKP Hranice VI-Valšovice - Gratcl Jiří</v>
      </c>
      <c r="E9" s="156">
        <v>13</v>
      </c>
      <c r="F9" s="28"/>
      <c r="G9" s="17"/>
      <c r="H9" s="66"/>
      <c r="I9" s="237"/>
      <c r="J9" s="17"/>
      <c r="K9" s="26"/>
      <c r="L9" s="335" t="s">
        <v>358</v>
      </c>
      <c r="M9" s="374" t="str">
        <f ca="1">IF(OR(TRIM(L10)="-",TRIM(L11)="-"),"",VLOOKUP(MIN(K10,K11),Hřiště!$B$11:$E$42,4,0))</f>
        <v/>
      </c>
      <c r="N9" s="17"/>
      <c r="O9" s="17"/>
      <c r="P9" s="17"/>
      <c r="Q9" s="17"/>
      <c r="R9" s="17"/>
      <c r="S9" s="17"/>
      <c r="T9" s="18"/>
      <c r="U9" s="17"/>
      <c r="V9" s="17"/>
      <c r="W9" s="17"/>
      <c r="X9" s="17"/>
      <c r="Y9" s="17"/>
      <c r="Z9" s="17"/>
      <c r="AA9" s="17"/>
      <c r="AB9" s="17"/>
    </row>
    <row r="10" spans="1:30" ht="18.45" thickTop="1" thickBot="1">
      <c r="A10" s="107"/>
      <c r="B10" s="84"/>
      <c r="C10" s="85"/>
      <c r="D10" s="65"/>
      <c r="E10" s="237"/>
      <c r="F10" s="17"/>
      <c r="G10" s="17"/>
      <c r="H10" s="67"/>
      <c r="I10" s="239"/>
      <c r="J10" s="18"/>
      <c r="K10" s="108">
        <v>9</v>
      </c>
      <c r="L10" s="109" t="str">
        <f ca="1">IF(OR(TRIM(H6)="-",TRIM(H7)="-"), IF(TRIM(H6)="-",H7,H6),IF(AND(I6="",I7="")," ",IF(N(I6)=N(I7)," ",IF(N(I6)&gt;N(I7),H6,H7))))</f>
        <v>18 1. KPK Vrchlabí - Brázda Vladimír</v>
      </c>
      <c r="M10" s="155">
        <v>13</v>
      </c>
      <c r="N10" s="27"/>
      <c r="O10" s="39">
        <v>9</v>
      </c>
      <c r="P10" s="133" t="str">
        <f ca="1">IF(AND(M10="",M11="")," ",IF(N(M10)=N(M11)," ",IF(N(M10)&gt;N(M11),L10,L11)))</f>
        <v>18 1. KPK Vrchlabí - Brázda Vladimír</v>
      </c>
      <c r="Q10" s="40">
        <v>9</v>
      </c>
      <c r="R10" s="17"/>
      <c r="S10" s="18"/>
      <c r="T10" s="17"/>
      <c r="U10" s="17"/>
      <c r="V10" s="17"/>
      <c r="W10" s="17"/>
      <c r="X10" s="17"/>
      <c r="Y10" s="17"/>
      <c r="Z10" s="17"/>
      <c r="AA10" s="17"/>
    </row>
    <row r="11" spans="1:30" ht="18.899999999999999" thickTop="1" thickBot="1">
      <c r="A11" s="104"/>
      <c r="B11" s="22"/>
      <c r="C11" s="17"/>
      <c r="D11" s="371" t="s">
        <v>447</v>
      </c>
      <c r="E11" s="374" t="str">
        <f ca="1">IF(OR(TRIM(D12)="-",TRIM(D13)="-"),"",VLOOKUP(MIN(C12,C13),Hřiště!$B$11:$E$42,4,0))</f>
        <v/>
      </c>
      <c r="F11" s="17"/>
      <c r="G11" s="17"/>
      <c r="H11" s="68"/>
      <c r="I11" s="239"/>
      <c r="J11" s="18"/>
      <c r="K11" s="110">
        <v>10</v>
      </c>
      <c r="L11" s="111" t="str">
        <f ca="1">IF(OR(TRIM(H14)="-",TRIM(H15)="-"), IF(TRIM(H14)="-",H15,H14),IF(AND(I14="",I15="")," ",IF(N(I14)=N(I15)," ",IF(N(I14)&gt;N(I15),H14,H15))))</f>
        <v>6 CdP Loděnice - Dlouhá Ivana</v>
      </c>
      <c r="M11" s="156">
        <v>9</v>
      </c>
      <c r="N11" s="21"/>
      <c r="O11" s="39">
        <v>10</v>
      </c>
      <c r="P11" s="131" t="str">
        <f ca="1">IF(AND(M10="",M11="")," ",IF(N(M11)=N(M10)," ",IF(N(M11)&gt;N(M10),L10,L11)))</f>
        <v>6 CdP Loděnice - Dlouhá Ivana</v>
      </c>
      <c r="Q11" s="130">
        <v>10</v>
      </c>
      <c r="R11" s="17"/>
      <c r="S11" s="17"/>
      <c r="T11" s="17"/>
      <c r="U11" s="17"/>
      <c r="V11" s="17"/>
      <c r="W11" s="17"/>
      <c r="X11" s="17"/>
      <c r="Y11" s="16"/>
      <c r="Z11" s="17"/>
      <c r="AA11" s="17"/>
      <c r="AB11" s="17"/>
      <c r="AC11" s="18"/>
    </row>
    <row r="12" spans="1:30" ht="18" thickBot="1">
      <c r="A12" s="116" t="str">
        <f ca="1">VLOOKUP(C12,Postupy!$A$3:$C$34,3,0)</f>
        <v>N1</v>
      </c>
      <c r="B12" s="22"/>
      <c r="C12" s="108">
        <v>14</v>
      </c>
      <c r="D12" s="333" t="str">
        <f ca="1">IF(OR(TRIM('KO16'!D20)="-",TRIM('KO16'!D21)="-"), IF(TRIM('KO16'!D20)="-",'KO16'!D20,'KO16'!D21),IF(AND('KO16'!E20="",'KO16'!E21="")," ",IF(N('KO16'!E20)=N('KO16'!E21)," ",IF(N('KO16'!E20)&gt;N('KO16'!E21),'KO16'!D21,'KO16'!D20))))</f>
        <v>51 UBU Únětice - Fuksa Petr</v>
      </c>
      <c r="E12" s="155">
        <v>9</v>
      </c>
      <c r="F12" s="20"/>
      <c r="G12" s="17"/>
      <c r="H12" s="68"/>
      <c r="I12" s="239"/>
      <c r="J12" s="24"/>
      <c r="K12" s="16"/>
      <c r="L12" s="66"/>
      <c r="M12" s="239"/>
      <c r="N12" s="18"/>
      <c r="O12" s="85"/>
      <c r="P12" s="19"/>
      <c r="Q12" s="18"/>
      <c r="R12" s="17"/>
      <c r="S12" s="18"/>
      <c r="T12" s="17"/>
      <c r="U12" s="17"/>
      <c r="V12" s="17"/>
      <c r="W12" s="17"/>
      <c r="X12" s="17"/>
      <c r="Y12" s="16"/>
      <c r="Z12" s="17"/>
      <c r="AA12" s="17"/>
      <c r="AB12" s="17"/>
      <c r="AC12" s="17"/>
    </row>
    <row r="13" spans="1:30" ht="18.899999999999999" thickTop="1" thickBot="1">
      <c r="A13" s="116" t="str">
        <f ca="1">VLOOKUP(C13,Postupy!$A$3:$C$34,3,0)</f>
        <v>K1</v>
      </c>
      <c r="B13" s="33"/>
      <c r="C13" s="110">
        <v>11</v>
      </c>
      <c r="D13" s="334" t="str">
        <f ca="1">IF(OR(TRIM('KO16'!D24)="-",TRIM('KO16'!D25)="-"), IF(TRIM('KO16'!D24)="-",'KO16'!D24,'KO16'!D25),IF(AND('KO16'!E24="",'KO16'!E25="")," ",IF(N('KO16'!E24)=N('KO16'!E25)," ",IF(N('KO16'!E24)&gt;N('KO16'!E25),'KO16'!D25,'KO16'!D24))))</f>
        <v>6 CdP Loděnice - Dlouhá Ivana</v>
      </c>
      <c r="E13" s="156">
        <v>13</v>
      </c>
      <c r="F13" s="21"/>
      <c r="G13" s="26"/>
      <c r="H13" s="371" t="s">
        <v>447</v>
      </c>
      <c r="I13" s="374" t="str">
        <f ca="1">IF(OR(TRIM(H14)="-",TRIM(H15)="-"),"",VLOOKUP(MIN(G14,G15),Hřiště!$B$11:$E$42,4,0))</f>
        <v/>
      </c>
      <c r="J13" s="24"/>
      <c r="K13" s="16"/>
      <c r="L13" s="65"/>
      <c r="M13" s="240"/>
      <c r="N13" s="65"/>
      <c r="O13" s="65"/>
      <c r="P13" s="65"/>
      <c r="Q13" s="65"/>
      <c r="R13" s="65"/>
      <c r="S13" s="65"/>
      <c r="T13" s="65"/>
      <c r="U13" s="65"/>
      <c r="V13" s="17"/>
      <c r="W13" s="17"/>
      <c r="X13" s="17"/>
      <c r="Y13" s="17"/>
      <c r="Z13" s="17"/>
      <c r="AA13" s="17"/>
    </row>
    <row r="14" spans="1:30" ht="18" thickBot="1">
      <c r="A14" s="107"/>
      <c r="B14" s="22"/>
      <c r="C14" s="17"/>
      <c r="D14" s="66"/>
      <c r="E14" s="237"/>
      <c r="F14" s="17"/>
      <c r="G14" s="108">
        <v>11</v>
      </c>
      <c r="H14" s="109" t="str">
        <f ca="1">IF(OR(TRIM(D12)="-",TRIM(D13)="-"), IF(TRIM(D12)="-",D13,D12),IF(AND(E12="",E13="")," ",IF(N(E12)=N(E13)," ",IF(N(E12)&gt;N(E13),D12,D13))))</f>
        <v>6 CdP Loděnice - Dlouhá Ivana</v>
      </c>
      <c r="I14" s="155">
        <v>13</v>
      </c>
      <c r="J14" s="27"/>
      <c r="K14" s="17"/>
      <c r="L14" s="68"/>
      <c r="M14" s="241"/>
      <c r="N14" s="68"/>
      <c r="O14" s="68"/>
      <c r="P14" s="68"/>
      <c r="Q14" s="68"/>
      <c r="R14" s="68"/>
      <c r="S14" s="68"/>
      <c r="T14" s="68"/>
      <c r="U14" s="68"/>
      <c r="V14" s="17"/>
      <c r="W14" s="17"/>
      <c r="X14" s="17"/>
      <c r="Y14" s="18"/>
      <c r="Z14" s="17"/>
      <c r="AA14" s="17"/>
    </row>
    <row r="15" spans="1:30" ht="18.899999999999999" thickTop="1" thickBot="1">
      <c r="A15" s="104"/>
      <c r="B15" s="33"/>
      <c r="C15" s="17"/>
      <c r="D15" s="371" t="s">
        <v>447</v>
      </c>
      <c r="E15" s="374" t="str">
        <f ca="1">IF(OR(TRIM(D16)="-",TRIM(D17)="-"),"",VLOOKUP(MIN(C16,C17),Hřiště!$B$11:$E$42,4,0))</f>
        <v/>
      </c>
      <c r="F15" s="17"/>
      <c r="G15" s="110">
        <v>10</v>
      </c>
      <c r="H15" s="111" t="str">
        <f ca="1">IF(OR(TRIM(D16)="-",TRIM(D17)="-"), IF(TRIM(D16)="-",D17,D16),IF(AND(E16="",E17="")," ",IF(N(E16)=N(E17)," ",IF(N(E16)&gt;N(E17),D16,D17))))</f>
        <v>23 PLUK Jablonec - Lukáš Petr</v>
      </c>
      <c r="I15" s="156">
        <v>7</v>
      </c>
      <c r="J15" s="28"/>
      <c r="K15" s="17"/>
      <c r="L15" s="68"/>
      <c r="M15" s="241"/>
      <c r="N15" s="68"/>
      <c r="O15" s="68"/>
      <c r="P15" s="68"/>
      <c r="Q15" s="68"/>
      <c r="R15" s="68"/>
      <c r="S15" s="68"/>
      <c r="T15" s="68"/>
      <c r="U15" s="68"/>
      <c r="V15" s="17"/>
      <c r="W15" s="17"/>
      <c r="X15" s="17"/>
      <c r="Y15" s="18"/>
      <c r="Z15" s="17"/>
      <c r="AA15" s="17"/>
    </row>
    <row r="16" spans="1:30" ht="18" thickBot="1">
      <c r="A16" s="116" t="str">
        <f ca="1">VLOOKUP(C16,Postupy!$A$3:$C$34,3,0)</f>
        <v>J1</v>
      </c>
      <c r="B16" s="22"/>
      <c r="C16" s="108">
        <v>10</v>
      </c>
      <c r="D16" s="333" t="str">
        <f ca="1">IF(OR(TRIM('KO16'!D28)="-",TRIM('KO16'!D29)="-"), IF(TRIM('KO16'!D28)="-",'KO16'!D28,'KO16'!D29),IF(AND('KO16'!E28="",'KO16'!E29="")," ",IF(N('KO16'!E28)=N('KO16'!E29)," ",IF(N('KO16'!E28)&gt;N('KO16'!E29),'KO16'!D29,'KO16'!D28))))</f>
        <v>23 PLUK Jablonec - Lukáš Petr</v>
      </c>
      <c r="E16" s="155">
        <v>13</v>
      </c>
      <c r="F16" s="27"/>
      <c r="G16" s="26"/>
      <c r="H16" s="66"/>
      <c r="I16" s="238"/>
      <c r="J16" s="17"/>
      <c r="K16" s="17"/>
      <c r="L16" s="68"/>
      <c r="M16" s="241"/>
      <c r="N16" s="68"/>
      <c r="O16" s="68"/>
      <c r="P16" s="68"/>
      <c r="Q16" s="68"/>
      <c r="R16" s="68"/>
      <c r="S16" s="68"/>
      <c r="T16" s="68"/>
      <c r="U16" s="68"/>
      <c r="V16" s="17"/>
      <c r="W16" s="17"/>
      <c r="X16" s="17"/>
      <c r="Y16" s="17"/>
      <c r="Z16" s="17"/>
      <c r="AA16" s="17"/>
    </row>
    <row r="17" spans="1:27" ht="18.899999999999999" thickTop="1" thickBot="1">
      <c r="A17" s="116" t="str">
        <f ca="1">VLOOKUP(C17,Postupy!$A$3:$C$34,3,0)</f>
        <v>O1</v>
      </c>
      <c r="B17" s="33"/>
      <c r="C17" s="110">
        <v>15</v>
      </c>
      <c r="D17" s="334" t="str">
        <f ca="1">IF(OR(TRIM('KO16'!D32)="-",TRIM('KO16'!D33)="-"),IF(TRIM('KO16'!D32)="-",'KO16'!D32,'KO16'!D33),IF(AND('KO16'!E32="",'KO16'!E33="")," ",IF(N('KO16'!E32)=N('KO16'!E33)," ",IF(N('KO16'!E32)&gt;N('KO16'!E33),'KO16'!D33,'KO16'!D32))))</f>
        <v>2 PC Sokol Lipník - Froňková Kateřina</v>
      </c>
      <c r="E17" s="156">
        <v>12</v>
      </c>
      <c r="F17" s="28"/>
      <c r="G17" s="17"/>
      <c r="H17" s="66"/>
      <c r="I17" s="237"/>
      <c r="J17" s="17"/>
      <c r="K17" s="17"/>
      <c r="L17" s="335" t="s">
        <v>359</v>
      </c>
      <c r="M17" s="374" t="str">
        <f ca="1">IF(OR(TRIM(L18)="-",TRIM(L19)="-"),"",VLOOKUP(MIN(K18,K19),Hřiště!$B$11:$E$42,4,0))</f>
        <v/>
      </c>
      <c r="N17" s="68"/>
      <c r="O17" s="68"/>
      <c r="P17" s="68"/>
      <c r="Q17" s="68"/>
      <c r="R17" s="68"/>
      <c r="S17" s="68"/>
      <c r="T17" s="68"/>
      <c r="U17" s="68"/>
      <c r="V17" s="17"/>
      <c r="W17" s="17"/>
      <c r="X17" s="17"/>
      <c r="Y17" s="17"/>
      <c r="Z17" s="17"/>
      <c r="AA17" s="17"/>
    </row>
    <row r="18" spans="1:27" ht="18.45" thickTop="1" thickBot="1">
      <c r="A18" s="107"/>
      <c r="B18" s="22"/>
      <c r="C18" s="17"/>
      <c r="D18" s="66"/>
      <c r="E18" s="17"/>
      <c r="F18" s="17"/>
      <c r="G18" s="17"/>
      <c r="H18" s="69"/>
      <c r="I18" s="237"/>
      <c r="J18" s="17"/>
      <c r="K18" s="108">
        <v>11</v>
      </c>
      <c r="L18" s="109" t="str">
        <f ca="1">IF(OR(TRIM(H6)="-",TRIM(H7)="-"),IF(TRIM(H6)="-",H7,H6),IF(AND(I6="",I7="")," ",IF(N(I7)=N(I6)," ",IF(N(I7)&gt;N(I6),H6,H7))))</f>
        <v>19 SKP Hranice VI-Valšovice - Gratcl Jiří</v>
      </c>
      <c r="M18" s="155">
        <v>6</v>
      </c>
      <c r="N18" s="27"/>
      <c r="O18" s="39">
        <v>11</v>
      </c>
      <c r="P18" s="131" t="str">
        <f ca="1">IF(AND(M18="",M19="")," ",IF(N(M18)=N(M19)," ",IF(N(M18)&gt;N(M19),L18,L19)))</f>
        <v>23 PLUK Jablonec - Lukáš Petr</v>
      </c>
      <c r="Q18" s="40">
        <v>11</v>
      </c>
      <c r="R18" s="69"/>
      <c r="S18" s="69"/>
      <c r="T18" s="69"/>
      <c r="U18" s="69"/>
      <c r="V18" s="17"/>
      <c r="W18" s="17"/>
      <c r="X18" s="17"/>
      <c r="Y18" s="17"/>
      <c r="Z18" s="17"/>
      <c r="AA18" s="17"/>
    </row>
    <row r="19" spans="1:27" ht="18.45" thickTop="1" thickBot="1">
      <c r="A19" s="107"/>
      <c r="B19" s="132"/>
      <c r="C19" s="29"/>
      <c r="D19" s="87"/>
      <c r="E19" s="17"/>
      <c r="F19" s="17"/>
      <c r="G19" s="17"/>
      <c r="H19" s="69"/>
      <c r="I19" s="237"/>
      <c r="J19" s="17"/>
      <c r="K19" s="110">
        <v>12</v>
      </c>
      <c r="L19" s="111" t="str">
        <f ca="1">IF(OR(TRIM(H14)="-",TRIM(H15)="-"), IF(TRIM(H14)="-",H15,H14),IF(AND(I14="",I15="")," ",IF(N(I15)=N(I14)," ",IF(N(I15)&gt;N(I14),H14,H15))))</f>
        <v>23 PLUK Jablonec - Lukáš Petr</v>
      </c>
      <c r="M19" s="156">
        <v>13</v>
      </c>
      <c r="N19" s="21"/>
      <c r="O19" s="39">
        <v>12</v>
      </c>
      <c r="P19" s="131" t="str">
        <f ca="1">IF(AND(M18="",M19="")," ",IF(N(M19)=N(M18)," ",IF(N(M19)&gt;N(M18),L18,L19)))</f>
        <v>19 SKP Hranice VI-Valšovice - Gratcl Jiří</v>
      </c>
      <c r="Q19" s="130">
        <v>12</v>
      </c>
      <c r="R19" s="69"/>
      <c r="S19" s="69"/>
      <c r="T19" s="69"/>
      <c r="U19" s="69"/>
      <c r="V19" s="17"/>
      <c r="W19" s="17"/>
      <c r="X19" s="17"/>
      <c r="Y19" s="17"/>
      <c r="Z19" s="17"/>
      <c r="AA19" s="17"/>
    </row>
    <row r="20" spans="1:27" ht="12.9" thickTop="1" thickBot="1">
      <c r="A20" s="17"/>
      <c r="B20" s="84"/>
      <c r="C20" s="90"/>
      <c r="D20" s="91"/>
      <c r="E20" s="30"/>
      <c r="F20" s="17"/>
      <c r="G20" s="17"/>
      <c r="H20" s="34"/>
      <c r="I20" s="237"/>
      <c r="J20" s="17"/>
      <c r="K20" s="17"/>
      <c r="L20" s="17"/>
      <c r="M20" s="237"/>
      <c r="N20" s="17"/>
      <c r="O20" s="17"/>
      <c r="P20" s="17"/>
      <c r="Q20" s="17"/>
      <c r="R20" s="17"/>
      <c r="S20" s="18"/>
      <c r="T20" s="17"/>
      <c r="U20" s="17"/>
      <c r="V20" s="17"/>
      <c r="W20" s="17"/>
      <c r="X20" s="17"/>
      <c r="Y20" s="17"/>
      <c r="Z20" s="17"/>
      <c r="AA20" s="17"/>
    </row>
    <row r="21" spans="1:27" ht="14.6" thickTop="1" thickBot="1">
      <c r="A21" s="17"/>
      <c r="B21" s="84"/>
      <c r="C21" s="88"/>
      <c r="D21" s="89"/>
      <c r="E21" s="17"/>
      <c r="F21" s="17"/>
      <c r="G21" s="17"/>
      <c r="H21" s="335" t="s">
        <v>360</v>
      </c>
      <c r="I21" s="374" t="str">
        <f ca="1">IF(OR(TRIM(H22)="-",TRIM(H23)="-"),"",VLOOKUP(MIN(G22,G23),Hřiště!$B$11:$E$42,4,0))</f>
        <v/>
      </c>
      <c r="J21" s="17"/>
      <c r="K21" s="17"/>
      <c r="L21" s="17"/>
      <c r="M21" s="237"/>
      <c r="N21" s="17"/>
      <c r="O21" s="17"/>
      <c r="P21" s="17"/>
      <c r="Q21" s="17"/>
      <c r="R21" s="17"/>
      <c r="S21" s="18"/>
      <c r="T21" s="17"/>
      <c r="U21" s="17"/>
      <c r="V21" s="17"/>
      <c r="W21" s="17"/>
      <c r="X21" s="17"/>
      <c r="Y21" s="17"/>
      <c r="Z21" s="17"/>
      <c r="AA21" s="17"/>
    </row>
    <row r="22" spans="1:27" ht="18" thickBot="1">
      <c r="A22" s="17"/>
      <c r="B22" s="22"/>
      <c r="C22" s="17"/>
      <c r="D22" s="17"/>
      <c r="E22" s="17"/>
      <c r="F22" s="17"/>
      <c r="G22" s="108">
        <v>16</v>
      </c>
      <c r="H22" s="109" t="str">
        <f ca="1">IF(OR(TRIM(D4)="-",TRIM(D5)="-"), IF(TRIM(D4)="-",D4,D5),IF(AND(E4="",E5="")," ",IF(N(E5)=N(E4)," ",IF(N(E5)&gt;N(E4),D4,D5))))</f>
        <v>41 PC Sokol PP Hr. Králové - Melgr Jan</v>
      </c>
      <c r="I22" s="155">
        <v>6</v>
      </c>
      <c r="J22" s="20"/>
      <c r="K22" s="16"/>
      <c r="L22" s="36"/>
      <c r="M22" s="238"/>
      <c r="N22" s="17"/>
      <c r="O22" s="17"/>
      <c r="P22" s="17"/>
      <c r="Q22" s="17"/>
      <c r="R22" s="17"/>
      <c r="S22" s="18"/>
      <c r="T22" s="17"/>
      <c r="U22" s="17"/>
      <c r="V22" s="17"/>
      <c r="W22" s="17"/>
      <c r="X22" s="17"/>
      <c r="Y22" s="17"/>
      <c r="Z22" s="17"/>
      <c r="AA22" s="17"/>
    </row>
    <row r="23" spans="1:27" ht="18.45" thickTop="1" thickBot="1">
      <c r="A23" s="17"/>
      <c r="B23" s="84"/>
      <c r="C23" s="90"/>
      <c r="D23" s="91"/>
      <c r="E23" s="30"/>
      <c r="F23" s="17"/>
      <c r="G23" s="110">
        <v>13</v>
      </c>
      <c r="H23" s="111" t="str">
        <f ca="1">IF(OR(TRIM(D8)="-",TRIM(D9)="-"), IF(TRIM(D8)="-",D8,D9),IF(AND(E8="",E9="")," ",IF(N(E9)=N(E8)," ",IF(N(E9)&gt;N(E8),D8,D9))))</f>
        <v>22 SK Sahara Vědomice - Sekerešová Jindřiška</v>
      </c>
      <c r="I23" s="156">
        <v>13</v>
      </c>
      <c r="J23" s="21"/>
      <c r="K23" s="26"/>
      <c r="L23" s="36"/>
      <c r="M23" s="238"/>
      <c r="N23" s="17"/>
      <c r="O23" s="17"/>
      <c r="P23" s="17"/>
      <c r="Q23" s="17"/>
      <c r="R23" s="17"/>
      <c r="S23" s="18"/>
      <c r="T23" s="17"/>
      <c r="U23" s="17"/>
      <c r="V23" s="17"/>
      <c r="W23" s="17"/>
      <c r="X23" s="17"/>
      <c r="Y23" s="17"/>
      <c r="Z23" s="17"/>
      <c r="AA23" s="17"/>
    </row>
    <row r="24" spans="1:27" ht="12.9" thickTop="1" thickBot="1">
      <c r="A24" s="17"/>
      <c r="B24" s="84"/>
      <c r="C24" s="90"/>
      <c r="D24" s="91"/>
      <c r="E24" s="30"/>
      <c r="F24" s="92"/>
      <c r="G24" s="16"/>
      <c r="H24" s="66"/>
      <c r="I24" s="238"/>
      <c r="J24" s="17"/>
      <c r="K24" s="26"/>
      <c r="L24" s="36"/>
      <c r="M24" s="238"/>
      <c r="N24" s="17"/>
      <c r="O24" s="17"/>
      <c r="P24" s="17"/>
      <c r="Q24" s="17"/>
      <c r="R24" s="17"/>
      <c r="S24" s="18"/>
      <c r="T24" s="17"/>
      <c r="U24" s="17"/>
      <c r="V24" s="17"/>
      <c r="W24" s="17"/>
      <c r="X24" s="17"/>
      <c r="Y24" s="17"/>
      <c r="Z24" s="17"/>
      <c r="AA24" s="17"/>
    </row>
    <row r="25" spans="1:27" ht="14.6" thickTop="1" thickBot="1">
      <c r="A25" s="17"/>
      <c r="B25" s="84"/>
      <c r="C25" s="90"/>
      <c r="D25" s="91"/>
      <c r="E25" s="30"/>
      <c r="F25" s="17"/>
      <c r="G25" s="17"/>
      <c r="H25" s="66"/>
      <c r="I25" s="237"/>
      <c r="J25" s="17"/>
      <c r="K25" s="26"/>
      <c r="L25" s="335" t="s">
        <v>361</v>
      </c>
      <c r="M25" s="374" t="str">
        <f ca="1">IF(OR(TRIM(L26)="-",TRIM(L27)="-"),"",VLOOKUP(MIN(K26,K27),Hřiště!$B$11:$E$42,4,0))</f>
        <v/>
      </c>
      <c r="N25" s="17"/>
      <c r="O25" s="17"/>
      <c r="P25" s="17"/>
      <c r="Q25" s="17"/>
      <c r="R25" s="17"/>
      <c r="S25" s="18"/>
      <c r="T25" s="17"/>
      <c r="U25" s="17"/>
      <c r="V25" s="17"/>
      <c r="W25" s="17"/>
      <c r="X25" s="17"/>
      <c r="Y25" s="17"/>
      <c r="Z25" s="17"/>
      <c r="AA25" s="17"/>
    </row>
    <row r="26" spans="1:27" ht="18.45" thickTop="1" thickBot="1">
      <c r="A26" s="17"/>
      <c r="B26" s="84"/>
      <c r="C26" s="90"/>
      <c r="D26" s="91"/>
      <c r="E26" s="30"/>
      <c r="F26" s="17"/>
      <c r="G26" s="17"/>
      <c r="H26" s="67"/>
      <c r="I26" s="239"/>
      <c r="J26" s="18"/>
      <c r="K26" s="108">
        <v>13</v>
      </c>
      <c r="L26" s="109" t="str">
        <f ca="1">IF(OR(TRIM(H22)="-",TRIM(H23)="-"), IF(TRIM(H22)="-",H23,H22),IF(AND(I22="",I23="")," ",IF(N(I22)=N(I23)," ",IF(N(I22)&gt;N(I23),H22,H23))))</f>
        <v>22 SK Sahara Vědomice - Sekerešová Jindřiška</v>
      </c>
      <c r="M26" s="155">
        <v>13</v>
      </c>
      <c r="N26" s="27"/>
      <c r="O26" s="39">
        <v>13</v>
      </c>
      <c r="P26" s="131" t="str">
        <f ca="1">IF(AND(M26="",M27="")," ",IF(N(M26)=N(M27)," ",IF(N(M26)&gt;N(M27),L26,L27)))</f>
        <v>22 SK Sahara Vědomice - Sekerešová Jindřiška</v>
      </c>
      <c r="Q26" s="40">
        <v>13</v>
      </c>
      <c r="R26" s="17"/>
      <c r="S26" s="18"/>
      <c r="T26" s="17"/>
      <c r="U26" s="17"/>
      <c r="V26" s="17"/>
      <c r="W26" s="17"/>
      <c r="X26" s="17"/>
      <c r="Y26" s="17"/>
      <c r="Z26" s="17"/>
      <c r="AA26" s="17"/>
    </row>
    <row r="27" spans="1:27" ht="18.45" thickTop="1" thickBot="1">
      <c r="A27" s="17"/>
      <c r="B27" s="84"/>
      <c r="C27" s="90"/>
      <c r="D27" s="91"/>
      <c r="E27" s="30"/>
      <c r="F27" s="17"/>
      <c r="G27" s="17"/>
      <c r="H27" s="68"/>
      <c r="I27" s="239"/>
      <c r="J27" s="18"/>
      <c r="K27" s="110">
        <v>14</v>
      </c>
      <c r="L27" s="111" t="str">
        <f ca="1">IF(OR(TRIM(H30)="-",TRIM(H31)="-"), IF(TRIM(H30)="-",H31,H30),IF(AND(I30="",I31="")," ",IF(N(I30)=N(I31)," ",IF(N(I30)&gt;N(I31),H30,H31))))</f>
        <v>2 PC Sokol Lipník - Froňková Kateřina</v>
      </c>
      <c r="M27" s="156">
        <v>6</v>
      </c>
      <c r="N27" s="21"/>
      <c r="O27" s="39">
        <v>14</v>
      </c>
      <c r="P27" s="131" t="str">
        <f ca="1">IF(AND(M26="",M27="")," ",IF(N(M27)=N(M26)," ",IF(N(M27)&gt;N(M26),L26,L27)))</f>
        <v>2 PC Sokol Lipník - Froňková Kateřina</v>
      </c>
      <c r="Q27" s="130">
        <v>14</v>
      </c>
      <c r="R27" s="17"/>
      <c r="S27" s="18"/>
      <c r="T27" s="17"/>
      <c r="U27" s="17"/>
      <c r="V27" s="17"/>
      <c r="W27" s="17"/>
      <c r="X27" s="17"/>
      <c r="Y27" s="17"/>
      <c r="Z27" s="17"/>
      <c r="AA27" s="17"/>
    </row>
    <row r="28" spans="1:27" ht="14.15" thickTop="1" thickBot="1">
      <c r="A28" s="17"/>
      <c r="B28" s="84"/>
      <c r="C28" s="90"/>
      <c r="D28" s="91"/>
      <c r="E28" s="30"/>
      <c r="F28" s="17"/>
      <c r="G28" s="17"/>
      <c r="H28" s="68"/>
      <c r="I28" s="239"/>
      <c r="J28" s="24"/>
      <c r="K28" s="16"/>
      <c r="L28" s="66"/>
      <c r="M28" s="239"/>
      <c r="N28" s="18"/>
      <c r="O28" s="85"/>
      <c r="P28" s="19"/>
      <c r="Q28" s="18"/>
      <c r="R28" s="17"/>
      <c r="S28" s="18"/>
      <c r="T28" s="17"/>
      <c r="U28" s="17"/>
      <c r="V28" s="17"/>
      <c r="W28" s="17"/>
      <c r="X28" s="17"/>
      <c r="Y28" s="17"/>
      <c r="Z28" s="17"/>
      <c r="AA28" s="17"/>
    </row>
    <row r="29" spans="1:27" ht="14.6" thickTop="1" thickBot="1">
      <c r="A29" s="17"/>
      <c r="B29" s="84"/>
      <c r="C29" s="90"/>
      <c r="D29" s="91"/>
      <c r="E29" s="30"/>
      <c r="F29" s="92"/>
      <c r="G29" s="16"/>
      <c r="H29" s="335" t="s">
        <v>360</v>
      </c>
      <c r="I29" s="374" t="str">
        <f ca="1">IF(OR(TRIM(H30)="-",TRIM(H31)="-"),"",VLOOKUP(MIN(G30,G31),Hřiště!$B$11:$E$42,4,0))</f>
        <v/>
      </c>
      <c r="J29" s="24"/>
      <c r="K29" s="16"/>
      <c r="L29" s="65"/>
      <c r="M29" s="240"/>
      <c r="N29" s="65"/>
      <c r="O29" s="65"/>
      <c r="P29" s="65"/>
      <c r="Q29" s="65"/>
      <c r="R29" s="17"/>
      <c r="S29" s="18"/>
      <c r="T29" s="17"/>
      <c r="U29" s="17"/>
      <c r="V29" s="17"/>
      <c r="W29" s="17"/>
      <c r="X29" s="17"/>
      <c r="Y29" s="17"/>
      <c r="Z29" s="17"/>
      <c r="AA29" s="17"/>
    </row>
    <row r="30" spans="1:27" ht="18.45" thickTop="1" thickBot="1">
      <c r="A30" s="17"/>
      <c r="B30" s="84"/>
      <c r="C30" s="90"/>
      <c r="D30" s="91"/>
      <c r="E30" s="30"/>
      <c r="F30" s="17"/>
      <c r="G30" s="108">
        <v>14</v>
      </c>
      <c r="H30" s="109" t="str">
        <f ca="1">IF(OR(TRIM(D12)="-",TRIM(D13)="-"), IF(TRIM(D12)="-",D12,D13),IF(AND(E12="",E13="")," ",IF(N(E13)=N(E12)," ",IF(N(E13)&gt;N(E12),D12,D13))))</f>
        <v>51 UBU Únětice - Fuksa Petr</v>
      </c>
      <c r="I30" s="155">
        <v>6</v>
      </c>
      <c r="J30" s="27"/>
      <c r="K30" s="17"/>
      <c r="L30" s="68"/>
      <c r="M30" s="241"/>
      <c r="N30" s="68"/>
      <c r="O30" s="68"/>
      <c r="P30" s="68"/>
      <c r="Q30" s="68"/>
      <c r="R30" s="17"/>
      <c r="S30" s="18"/>
      <c r="T30" s="17"/>
      <c r="U30" s="17"/>
      <c r="V30" s="17"/>
      <c r="W30" s="17"/>
      <c r="X30" s="17"/>
      <c r="Y30" s="17"/>
      <c r="Z30" s="17"/>
      <c r="AA30" s="17"/>
    </row>
    <row r="31" spans="1:27" ht="18.45" thickTop="1" thickBot="1">
      <c r="A31" s="17"/>
      <c r="B31" s="84"/>
      <c r="C31" s="90"/>
      <c r="D31" s="91"/>
      <c r="E31" s="30"/>
      <c r="F31" s="17"/>
      <c r="G31" s="110">
        <v>15</v>
      </c>
      <c r="H31" s="111" t="str">
        <f ca="1">IF(OR(TRIM(D16)="-",TRIM(D17)="-"), IF(TRIM(D16)="-",D16,D17),IF(AND(E16="",E17="")," ",IF(N(E17)=N(E16)," ",IF(N(E17)&gt;N(E16),D16,D17))))</f>
        <v>2 PC Sokol Lipník - Froňková Kateřina</v>
      </c>
      <c r="I31" s="156">
        <v>13</v>
      </c>
      <c r="J31" s="28"/>
      <c r="K31" s="17"/>
      <c r="L31" s="68"/>
      <c r="M31" s="241"/>
      <c r="N31" s="68"/>
      <c r="O31" s="68"/>
      <c r="P31" s="68"/>
      <c r="Q31" s="68"/>
      <c r="R31" s="17"/>
      <c r="S31" s="18"/>
      <c r="T31" s="17"/>
      <c r="U31" s="17"/>
      <c r="V31" s="17"/>
      <c r="W31" s="17"/>
      <c r="X31" s="17"/>
      <c r="Y31" s="17"/>
      <c r="Z31" s="17"/>
      <c r="AA31" s="17"/>
    </row>
    <row r="32" spans="1:27" ht="12.9" thickTop="1" thickBot="1">
      <c r="A32" s="17"/>
      <c r="B32" s="84"/>
      <c r="C32" s="90"/>
      <c r="D32" s="91"/>
      <c r="E32" s="30"/>
      <c r="F32" s="17"/>
      <c r="G32" s="17"/>
      <c r="H32" s="34"/>
      <c r="I32" s="17"/>
      <c r="J32" s="17"/>
      <c r="K32" s="17"/>
      <c r="L32" s="17"/>
      <c r="M32" s="237"/>
      <c r="N32" s="17"/>
      <c r="O32" s="17"/>
      <c r="P32" s="17"/>
      <c r="Q32" s="17"/>
      <c r="R32" s="17"/>
      <c r="S32" s="18"/>
      <c r="T32" s="17"/>
      <c r="U32" s="17"/>
      <c r="V32" s="17"/>
      <c r="W32" s="17"/>
      <c r="X32" s="17"/>
      <c r="Y32" s="17"/>
      <c r="Z32" s="17"/>
      <c r="AA32" s="17"/>
    </row>
    <row r="33" spans="1:27" ht="14.6" thickTop="1" thickBot="1">
      <c r="A33" s="17"/>
      <c r="B33" s="84"/>
      <c r="C33" s="90"/>
      <c r="D33" s="91"/>
      <c r="E33" s="30"/>
      <c r="F33" s="17"/>
      <c r="G33" s="17"/>
      <c r="H33" s="34"/>
      <c r="I33" s="17"/>
      <c r="J33" s="17"/>
      <c r="K33" s="17"/>
      <c r="L33" s="335" t="s">
        <v>362</v>
      </c>
      <c r="M33" s="374" t="str">
        <f ca="1">IF(OR(TRIM(L34)="-",TRIM(L35)="-"),"",VLOOKUP(MIN(K34,K35),Hřiště!$B$11:$E$42,4,0))</f>
        <v/>
      </c>
      <c r="N33" s="17"/>
      <c r="O33" s="17"/>
      <c r="P33" s="17"/>
      <c r="Q33" s="17"/>
      <c r="R33" s="17"/>
      <c r="S33" s="18"/>
      <c r="T33" s="17"/>
      <c r="U33" s="17"/>
      <c r="V33" s="17"/>
      <c r="W33" s="17"/>
      <c r="X33" s="17"/>
      <c r="Y33" s="17"/>
      <c r="Z33" s="17"/>
      <c r="AA33" s="17"/>
    </row>
    <row r="34" spans="1:27" ht="18.45" thickTop="1" thickBot="1">
      <c r="A34" s="17"/>
      <c r="B34" s="84"/>
      <c r="C34" s="90"/>
      <c r="D34" s="91"/>
      <c r="E34" s="30"/>
      <c r="F34" s="17"/>
      <c r="G34" s="17"/>
      <c r="H34" s="34"/>
      <c r="I34" s="17"/>
      <c r="J34" s="17"/>
      <c r="K34" s="108">
        <v>15</v>
      </c>
      <c r="L34" s="109" t="str">
        <f ca="1">IF(OR(TRIM(H22)="-",TRIM(H23)="-"), IF(TRIM(H22)="-",H22,H23),IF(AND(I22="",I23="")," ",IF(N(I23)=N(I22)," ",IF(N(I23)&gt;N(I22),H22,H23))))</f>
        <v>41 PC Sokol PP Hr. Králové - Melgr Jan</v>
      </c>
      <c r="M34" s="155">
        <v>6</v>
      </c>
      <c r="N34" s="27"/>
      <c r="O34" s="39">
        <v>15</v>
      </c>
      <c r="P34" s="131" t="str">
        <f ca="1">IF(AND(M34="",M35="")," ",IF(N(M34)=N(M35)," ",IF(N(M34)&gt;N(M35),L34,L35)))</f>
        <v>51 UBU Únětice - Fuksa Petr</v>
      </c>
      <c r="Q34" s="40">
        <v>15</v>
      </c>
      <c r="R34" s="17"/>
      <c r="S34" s="18"/>
      <c r="T34" s="17"/>
      <c r="U34" s="17"/>
      <c r="V34" s="17"/>
      <c r="W34" s="17"/>
      <c r="X34" s="17"/>
      <c r="Y34" s="17"/>
      <c r="Z34" s="17"/>
      <c r="AA34" s="17"/>
    </row>
    <row r="35" spans="1:27" ht="18.45" thickTop="1" thickBot="1">
      <c r="A35" s="17"/>
      <c r="B35" s="84"/>
      <c r="C35" s="90"/>
      <c r="D35" s="91"/>
      <c r="E35" s="30"/>
      <c r="F35" s="17"/>
      <c r="G35" s="17"/>
      <c r="H35" s="34"/>
      <c r="I35" s="17"/>
      <c r="J35" s="17"/>
      <c r="K35" s="110">
        <v>16</v>
      </c>
      <c r="L35" s="111" t="str">
        <f ca="1">IF(OR(TRIM(H30)="-",TRIM(H31)="-"),IF(TRIM(H30)="-",H30,H31),IF(AND(I30="",I31="")," ",IF(N(I31)=N(I30)," ",IF(N(I31)&gt;N(I30),H30,H31))))</f>
        <v>51 UBU Únětice - Fuksa Petr</v>
      </c>
      <c r="M35" s="156">
        <v>13</v>
      </c>
      <c r="N35" s="21"/>
      <c r="O35" s="39">
        <v>16</v>
      </c>
      <c r="P35" s="131" t="str">
        <f ca="1">IF(AND(M34="",M35="")," ",IF(N(M35)=N(M34)," ",IF(N(M35)&gt;N(M34),L34,L35)))</f>
        <v>41 PC Sokol PP Hr. Králové - Melgr Jan</v>
      </c>
      <c r="Q35" s="130">
        <v>16</v>
      </c>
      <c r="R35" s="17"/>
      <c r="S35" s="18"/>
      <c r="T35" s="17"/>
      <c r="U35" s="17"/>
      <c r="V35" s="17"/>
      <c r="W35" s="17"/>
      <c r="X35" s="17"/>
      <c r="Y35" s="17"/>
      <c r="Z35" s="17"/>
      <c r="AA35" s="17"/>
    </row>
    <row r="36" spans="1:27" ht="12.9" thickTop="1" thickBot="1">
      <c r="A36" s="17"/>
      <c r="B36" s="84"/>
      <c r="C36" s="90"/>
      <c r="D36" s="91"/>
      <c r="E36" s="30"/>
      <c r="F36" s="17"/>
      <c r="G36" s="17"/>
      <c r="H36" s="34"/>
      <c r="I36" s="17"/>
      <c r="J36" s="17"/>
      <c r="K36" s="17"/>
      <c r="L36" s="17"/>
      <c r="M36" s="17"/>
      <c r="N36" s="17"/>
      <c r="O36" s="17"/>
      <c r="P36" s="17"/>
      <c r="Q36" s="17"/>
      <c r="R36" s="17"/>
      <c r="S36" s="18"/>
      <c r="T36" s="17"/>
      <c r="U36" s="17"/>
      <c r="V36" s="17"/>
      <c r="W36" s="17"/>
      <c r="X36" s="17"/>
      <c r="Y36" s="17"/>
      <c r="Z36" s="17"/>
      <c r="AA36" s="17"/>
    </row>
    <row r="37" spans="1:27" ht="12.9" thickTop="1" thickBot="1">
      <c r="A37" s="17"/>
      <c r="B37" s="84"/>
      <c r="C37" s="90"/>
      <c r="D37" s="91"/>
      <c r="E37" s="30"/>
      <c r="F37" s="17"/>
      <c r="G37" s="17"/>
      <c r="H37" s="34"/>
      <c r="I37" s="17"/>
      <c r="J37" s="17"/>
      <c r="K37" s="17"/>
      <c r="L37" s="17"/>
      <c r="M37" s="17"/>
      <c r="N37" s="17"/>
      <c r="O37" s="17"/>
      <c r="P37" s="17"/>
      <c r="Q37" s="17"/>
      <c r="R37" s="17"/>
      <c r="S37" s="18"/>
      <c r="T37" s="17"/>
      <c r="U37" s="17"/>
      <c r="V37" s="17"/>
      <c r="W37" s="17"/>
      <c r="X37" s="17"/>
      <c r="Y37" s="17"/>
      <c r="Z37" s="17"/>
      <c r="AA37" s="17"/>
    </row>
    <row r="38" spans="1:27" ht="12.9" thickTop="1" thickBot="1">
      <c r="A38" s="17"/>
      <c r="B38" s="84"/>
      <c r="C38" s="90"/>
      <c r="D38" s="91"/>
      <c r="E38" s="30"/>
      <c r="F38" s="17"/>
      <c r="G38" s="17"/>
      <c r="H38" s="34"/>
      <c r="I38" s="17"/>
      <c r="J38" s="17"/>
      <c r="K38" s="17"/>
      <c r="L38" s="17"/>
      <c r="M38" s="17"/>
      <c r="N38" s="17"/>
      <c r="O38" s="17"/>
      <c r="P38" s="17"/>
      <c r="Q38" s="17"/>
      <c r="R38" s="17"/>
      <c r="S38" s="18"/>
      <c r="T38" s="17"/>
      <c r="U38" s="17"/>
      <c r="V38" s="17"/>
      <c r="W38" s="17"/>
      <c r="X38" s="17"/>
      <c r="Y38" s="17"/>
      <c r="Z38" s="17"/>
      <c r="AA38" s="17"/>
    </row>
    <row r="39" spans="1:27" ht="12.9" thickTop="1" thickBot="1">
      <c r="A39" s="17"/>
      <c r="B39" s="84"/>
      <c r="C39" s="90"/>
      <c r="D39" s="91"/>
      <c r="E39" s="30"/>
      <c r="F39" s="17"/>
      <c r="G39" s="17"/>
      <c r="H39" s="34"/>
      <c r="I39" s="17"/>
      <c r="J39" s="17"/>
      <c r="K39" s="17"/>
      <c r="L39" s="17"/>
      <c r="M39" s="17"/>
      <c r="N39" s="17"/>
      <c r="O39" s="17"/>
      <c r="P39" s="17"/>
      <c r="Q39" s="17"/>
      <c r="R39" s="17"/>
      <c r="S39" s="18"/>
      <c r="T39" s="17"/>
      <c r="U39" s="17"/>
      <c r="V39" s="17"/>
      <c r="W39" s="17"/>
      <c r="X39" s="17"/>
      <c r="Y39" s="17"/>
      <c r="Z39" s="17"/>
      <c r="AA39" s="17"/>
    </row>
    <row r="40" spans="1:27" ht="12.9" thickTop="1" thickBot="1">
      <c r="A40" s="17"/>
      <c r="B40" s="84"/>
      <c r="C40" s="90"/>
      <c r="D40" s="91"/>
      <c r="E40" s="30"/>
      <c r="F40" s="17"/>
      <c r="G40" s="17"/>
      <c r="H40" s="34"/>
      <c r="I40" s="17"/>
      <c r="J40" s="17"/>
      <c r="K40" s="17"/>
      <c r="L40" s="17"/>
      <c r="M40" s="17"/>
      <c r="N40" s="17"/>
      <c r="O40" s="17"/>
      <c r="P40" s="17"/>
      <c r="Q40" s="17"/>
      <c r="R40" s="17"/>
      <c r="S40" s="18"/>
      <c r="T40" s="17"/>
      <c r="U40" s="17"/>
      <c r="V40" s="17"/>
      <c r="W40" s="17"/>
      <c r="X40" s="17"/>
      <c r="Y40" s="17"/>
      <c r="Z40" s="17"/>
      <c r="AA40" s="17"/>
    </row>
    <row r="41" spans="1:27" ht="12.9" thickTop="1" thickBot="1">
      <c r="A41" s="17"/>
      <c r="B41" s="84"/>
      <c r="C41" s="90"/>
      <c r="D41" s="91"/>
      <c r="E41" s="30"/>
      <c r="F41" s="17"/>
      <c r="G41" s="17"/>
      <c r="H41" s="34"/>
      <c r="I41" s="17"/>
      <c r="J41" s="17"/>
      <c r="K41" s="17"/>
      <c r="L41" s="17"/>
      <c r="M41" s="17"/>
      <c r="N41" s="17"/>
      <c r="O41" s="17"/>
      <c r="P41" s="17"/>
      <c r="Q41" s="17"/>
      <c r="R41" s="17"/>
      <c r="S41" s="18"/>
      <c r="T41" s="17"/>
      <c r="U41" s="17"/>
      <c r="V41" s="17"/>
      <c r="W41" s="17"/>
      <c r="X41" s="17"/>
      <c r="Y41" s="17"/>
      <c r="Z41" s="17"/>
      <c r="AA41" s="17"/>
    </row>
    <row r="42" spans="1:27" ht="12.9" thickTop="1" thickBot="1">
      <c r="A42" s="17"/>
      <c r="B42" s="84"/>
      <c r="C42" s="90"/>
      <c r="D42" s="91"/>
      <c r="E42" s="30"/>
      <c r="F42" s="17"/>
      <c r="G42" s="17"/>
      <c r="H42" s="34"/>
      <c r="I42" s="17"/>
      <c r="J42" s="17"/>
      <c r="K42" s="17"/>
      <c r="L42" s="17"/>
      <c r="M42" s="17"/>
      <c r="N42" s="17"/>
      <c r="O42" s="17"/>
      <c r="P42" s="17"/>
      <c r="Q42" s="17"/>
      <c r="R42" s="17"/>
      <c r="S42" s="18"/>
      <c r="T42" s="17"/>
      <c r="U42" s="17"/>
      <c r="V42" s="17"/>
      <c r="W42" s="17"/>
      <c r="X42" s="17"/>
      <c r="Y42" s="17"/>
      <c r="Z42" s="17"/>
      <c r="AA42" s="17"/>
    </row>
    <row r="43" spans="1:27" ht="12.9" thickTop="1" thickBot="1">
      <c r="A43" s="17"/>
      <c r="B43" s="84"/>
      <c r="C43" s="90"/>
      <c r="D43" s="91"/>
      <c r="E43" s="30"/>
      <c r="F43" s="17"/>
      <c r="G43" s="17"/>
      <c r="H43" s="34"/>
      <c r="I43" s="17"/>
      <c r="J43" s="17"/>
      <c r="K43" s="17"/>
      <c r="L43" s="17"/>
      <c r="M43" s="17"/>
      <c r="N43" s="17"/>
      <c r="O43" s="17"/>
      <c r="P43" s="17"/>
      <c r="Q43" s="17"/>
      <c r="R43" s="17"/>
      <c r="S43" s="18"/>
      <c r="T43" s="17"/>
      <c r="U43" s="17"/>
      <c r="V43" s="17"/>
      <c r="W43" s="17"/>
      <c r="X43" s="17"/>
      <c r="Y43" s="17"/>
      <c r="Z43" s="17"/>
      <c r="AA43" s="17"/>
    </row>
    <row r="44" spans="1:27" ht="12.9" thickTop="1" thickBot="1">
      <c r="A44" s="17"/>
      <c r="B44" s="84"/>
      <c r="C44" s="90"/>
      <c r="D44" s="91"/>
      <c r="E44" s="30"/>
      <c r="F44" s="17"/>
      <c r="G44" s="17"/>
      <c r="H44" s="34"/>
      <c r="I44" s="17"/>
      <c r="J44" s="17"/>
      <c r="K44" s="17"/>
      <c r="L44" s="17"/>
      <c r="M44" s="17"/>
      <c r="N44" s="17"/>
      <c r="O44" s="17"/>
      <c r="P44" s="17"/>
      <c r="Q44" s="17"/>
      <c r="R44" s="17"/>
      <c r="S44" s="18"/>
      <c r="T44" s="17"/>
      <c r="U44" s="17"/>
      <c r="V44" s="17"/>
      <c r="W44" s="17"/>
      <c r="X44" s="17"/>
      <c r="Y44" s="17"/>
      <c r="Z44" s="17"/>
      <c r="AA44" s="17"/>
    </row>
    <row r="45" spans="1:27" ht="12.9" thickTop="1" thickBot="1">
      <c r="A45" s="17"/>
      <c r="B45" s="84"/>
      <c r="C45" s="90"/>
      <c r="D45" s="91"/>
      <c r="E45" s="30"/>
      <c r="F45" s="17"/>
      <c r="G45" s="17"/>
      <c r="H45" s="34"/>
      <c r="I45" s="17"/>
      <c r="J45" s="17"/>
      <c r="K45" s="17"/>
      <c r="L45" s="17"/>
      <c r="M45" s="17"/>
      <c r="N45" s="17"/>
      <c r="O45" s="17"/>
      <c r="P45" s="17"/>
      <c r="Q45" s="17"/>
      <c r="R45" s="17"/>
      <c r="S45" s="18"/>
      <c r="T45" s="17"/>
      <c r="U45" s="17"/>
      <c r="V45" s="17"/>
      <c r="W45" s="17"/>
      <c r="X45" s="17"/>
      <c r="Y45" s="17"/>
      <c r="Z45" s="17"/>
      <c r="AA45" s="17"/>
    </row>
    <row r="46" spans="1:27" ht="12.9" thickTop="1" thickBot="1">
      <c r="A46" s="17"/>
      <c r="B46" s="84"/>
      <c r="C46" s="90"/>
      <c r="D46" s="91"/>
      <c r="E46" s="30"/>
      <c r="F46" s="17"/>
      <c r="G46" s="17"/>
      <c r="H46" s="34"/>
      <c r="I46" s="17"/>
      <c r="J46" s="17"/>
      <c r="K46" s="17"/>
      <c r="L46" s="17"/>
      <c r="M46" s="17"/>
      <c r="N46" s="17"/>
      <c r="O46" s="17"/>
      <c r="P46" s="17"/>
      <c r="Q46" s="17"/>
      <c r="R46" s="17"/>
      <c r="S46" s="18"/>
      <c r="T46" s="17"/>
      <c r="U46" s="17"/>
      <c r="V46" s="17"/>
      <c r="W46" s="17"/>
      <c r="X46" s="17"/>
      <c r="Y46" s="17"/>
      <c r="Z46" s="17"/>
      <c r="AA46" s="17"/>
    </row>
    <row r="47" spans="1:27" ht="12.9" thickTop="1" thickBot="1">
      <c r="A47" s="17"/>
      <c r="B47" s="84"/>
      <c r="C47" s="90"/>
      <c r="D47" s="91"/>
      <c r="E47" s="30"/>
      <c r="F47" s="17"/>
      <c r="G47" s="17"/>
      <c r="H47" s="34"/>
      <c r="I47" s="17"/>
      <c r="J47" s="17"/>
      <c r="K47" s="17"/>
      <c r="L47" s="17"/>
      <c r="M47" s="17"/>
      <c r="N47" s="17"/>
      <c r="O47" s="17"/>
      <c r="P47" s="17"/>
      <c r="Q47" s="17"/>
      <c r="R47" s="17"/>
      <c r="S47" s="18"/>
      <c r="T47" s="17"/>
      <c r="U47" s="17"/>
      <c r="V47" s="17"/>
      <c r="W47" s="17"/>
      <c r="X47" s="17"/>
      <c r="Y47" s="17"/>
      <c r="Z47" s="17"/>
      <c r="AA47" s="17"/>
    </row>
    <row r="48" spans="1:27" ht="12.9" thickTop="1" thickBot="1">
      <c r="A48" s="17"/>
      <c r="B48" s="84"/>
      <c r="C48" s="90"/>
      <c r="D48" s="91"/>
      <c r="E48" s="30"/>
      <c r="F48" s="17"/>
      <c r="G48" s="17"/>
      <c r="H48" s="34"/>
      <c r="I48" s="17"/>
      <c r="J48" s="17"/>
      <c r="K48" s="17"/>
      <c r="L48" s="17"/>
      <c r="M48" s="17"/>
      <c r="N48" s="17"/>
      <c r="O48" s="17"/>
      <c r="P48" s="17"/>
      <c r="Q48" s="17"/>
      <c r="R48" s="17"/>
      <c r="S48" s="18"/>
      <c r="T48" s="17"/>
      <c r="U48" s="17"/>
      <c r="V48" s="17"/>
      <c r="W48" s="17"/>
      <c r="X48" s="17"/>
      <c r="Y48" s="17"/>
      <c r="Z48" s="17"/>
      <c r="AA48" s="17"/>
    </row>
    <row r="49" spans="1:27" ht="12.9" thickTop="1" thickBot="1">
      <c r="A49" s="17"/>
      <c r="B49" s="84"/>
      <c r="C49" s="90"/>
      <c r="D49" s="91"/>
      <c r="E49" s="30"/>
      <c r="F49" s="17"/>
      <c r="G49" s="17"/>
      <c r="H49" s="34"/>
      <c r="I49" s="17"/>
      <c r="J49" s="17"/>
      <c r="K49" s="17"/>
      <c r="L49" s="17"/>
      <c r="M49" s="17"/>
      <c r="N49" s="17"/>
      <c r="O49" s="17"/>
      <c r="P49" s="17"/>
      <c r="Q49" s="17"/>
      <c r="R49" s="17"/>
      <c r="S49" s="18"/>
      <c r="T49" s="17"/>
      <c r="U49" s="17"/>
      <c r="V49" s="17"/>
      <c r="W49" s="17"/>
      <c r="X49" s="17"/>
      <c r="Y49" s="17"/>
      <c r="Z49" s="17"/>
      <c r="AA49" s="17"/>
    </row>
    <row r="50" spans="1:27" ht="12.9" thickTop="1" thickBot="1">
      <c r="A50" s="17"/>
      <c r="B50" s="84"/>
      <c r="C50" s="90"/>
      <c r="D50" s="91"/>
      <c r="E50" s="30"/>
      <c r="F50" s="17"/>
      <c r="G50" s="17"/>
      <c r="H50" s="34"/>
      <c r="I50" s="17"/>
      <c r="J50" s="17"/>
      <c r="K50" s="17"/>
      <c r="L50" s="17"/>
      <c r="M50" s="17"/>
      <c r="N50" s="17"/>
      <c r="O50" s="17"/>
      <c r="P50" s="17"/>
      <c r="Q50" s="17"/>
      <c r="R50" s="17"/>
      <c r="S50" s="18"/>
      <c r="T50" s="17"/>
      <c r="U50" s="17"/>
      <c r="V50" s="17"/>
      <c r="W50" s="17"/>
      <c r="X50" s="17"/>
      <c r="Y50" s="17"/>
      <c r="Z50" s="17"/>
      <c r="AA50" s="17"/>
    </row>
    <row r="51" spans="1:27" ht="12.9" thickTop="1" thickBot="1">
      <c r="A51" s="17"/>
      <c r="B51" s="84"/>
      <c r="C51" s="90"/>
      <c r="D51" s="91"/>
      <c r="E51" s="30"/>
      <c r="F51" s="17"/>
      <c r="G51" s="17"/>
      <c r="H51" s="34"/>
      <c r="I51" s="17"/>
      <c r="J51" s="17"/>
      <c r="K51" s="17"/>
      <c r="L51" s="17"/>
      <c r="M51" s="17"/>
      <c r="N51" s="17"/>
      <c r="O51" s="17"/>
      <c r="P51" s="17"/>
      <c r="Q51" s="17"/>
      <c r="R51" s="17"/>
      <c r="S51" s="18"/>
      <c r="T51" s="17"/>
      <c r="U51" s="17"/>
      <c r="V51" s="17"/>
      <c r="W51" s="17"/>
      <c r="X51" s="17"/>
      <c r="Y51" s="17"/>
      <c r="Z51" s="17"/>
      <c r="AA51" s="17"/>
    </row>
    <row r="52" spans="1:27" ht="12.9" thickTop="1" thickBot="1">
      <c r="A52" s="17"/>
      <c r="B52" s="84"/>
      <c r="C52" s="90"/>
      <c r="D52" s="91"/>
      <c r="E52" s="30"/>
      <c r="F52" s="17"/>
      <c r="G52" s="17"/>
      <c r="H52" s="34"/>
      <c r="I52" s="17"/>
      <c r="J52" s="17"/>
      <c r="K52" s="17"/>
      <c r="L52" s="17"/>
      <c r="M52" s="17"/>
      <c r="N52" s="17"/>
      <c r="O52" s="17"/>
      <c r="P52" s="17"/>
      <c r="Q52" s="17"/>
      <c r="R52" s="17"/>
      <c r="S52" s="18"/>
      <c r="T52" s="17"/>
      <c r="U52" s="17"/>
      <c r="V52" s="17"/>
      <c r="W52" s="17"/>
      <c r="X52" s="17"/>
      <c r="Y52" s="17"/>
      <c r="Z52" s="17"/>
      <c r="AA52" s="17"/>
    </row>
    <row r="53" spans="1:27" ht="12.9" thickTop="1" thickBot="1">
      <c r="A53" s="17"/>
      <c r="B53" s="84"/>
      <c r="C53" s="90"/>
      <c r="D53" s="91"/>
      <c r="E53" s="30"/>
      <c r="F53" s="17"/>
      <c r="G53" s="17"/>
      <c r="H53" s="34"/>
      <c r="I53" s="17"/>
      <c r="J53" s="17"/>
      <c r="K53" s="17"/>
      <c r="L53" s="17"/>
      <c r="M53" s="17"/>
      <c r="N53" s="17"/>
      <c r="O53" s="17"/>
      <c r="P53" s="17"/>
      <c r="Q53" s="17"/>
      <c r="R53" s="17"/>
      <c r="S53" s="18"/>
      <c r="T53" s="17"/>
      <c r="U53" s="17"/>
      <c r="V53" s="17"/>
      <c r="W53" s="17"/>
      <c r="X53" s="17"/>
      <c r="Y53" s="17"/>
      <c r="Z53" s="17"/>
      <c r="AA53" s="17"/>
    </row>
    <row r="54" spans="1:27" ht="12.9" thickTop="1" thickBot="1">
      <c r="A54" s="17"/>
      <c r="B54" s="84"/>
      <c r="C54" s="90"/>
      <c r="D54" s="91"/>
      <c r="E54" s="30"/>
      <c r="F54" s="17"/>
      <c r="G54" s="17"/>
      <c r="H54" s="34"/>
      <c r="I54" s="17"/>
      <c r="J54" s="17"/>
      <c r="K54" s="17"/>
      <c r="L54" s="17"/>
      <c r="M54" s="17"/>
      <c r="N54" s="17"/>
      <c r="O54" s="17"/>
      <c r="P54" s="17"/>
      <c r="Q54" s="17"/>
      <c r="R54" s="17"/>
      <c r="S54" s="18"/>
      <c r="T54" s="17"/>
      <c r="U54" s="17"/>
      <c r="V54" s="17"/>
      <c r="W54" s="17"/>
      <c r="X54" s="17"/>
      <c r="Y54" s="17"/>
      <c r="Z54" s="17"/>
      <c r="AA54" s="17"/>
    </row>
    <row r="55" spans="1:27" ht="12.9" thickTop="1" thickBot="1">
      <c r="A55" s="17"/>
      <c r="B55" s="84"/>
      <c r="C55" s="90"/>
      <c r="D55" s="91"/>
      <c r="E55" s="30"/>
      <c r="F55" s="17"/>
      <c r="G55" s="17"/>
      <c r="H55" s="34"/>
      <c r="I55" s="17"/>
      <c r="J55" s="17"/>
      <c r="K55" s="17"/>
      <c r="L55" s="17"/>
      <c r="M55" s="17"/>
      <c r="N55" s="17"/>
      <c r="O55" s="17"/>
      <c r="P55" s="17"/>
      <c r="Q55" s="17"/>
      <c r="R55" s="17"/>
      <c r="S55" s="18"/>
      <c r="T55" s="17"/>
      <c r="U55" s="17"/>
      <c r="V55" s="17"/>
      <c r="W55" s="17"/>
      <c r="X55" s="17"/>
      <c r="Y55" s="17"/>
      <c r="Z55" s="17"/>
      <c r="AA55" s="17"/>
    </row>
    <row r="56" spans="1:27" ht="12.9" thickTop="1" thickBot="1">
      <c r="A56" s="17"/>
      <c r="B56" s="84"/>
      <c r="C56" s="90"/>
      <c r="D56" s="91"/>
      <c r="E56" s="30"/>
      <c r="F56" s="17"/>
      <c r="G56" s="17"/>
      <c r="H56" s="34"/>
      <c r="I56" s="17"/>
      <c r="J56" s="17"/>
      <c r="K56" s="17"/>
      <c r="L56" s="17"/>
      <c r="M56" s="17"/>
      <c r="N56" s="17"/>
      <c r="O56" s="17"/>
      <c r="P56" s="17"/>
      <c r="Q56" s="17"/>
      <c r="R56" s="17"/>
      <c r="S56" s="18"/>
      <c r="T56" s="17"/>
      <c r="U56" s="17"/>
      <c r="V56" s="17"/>
      <c r="W56" s="17"/>
      <c r="X56" s="17"/>
      <c r="Y56" s="17"/>
      <c r="Z56" s="17"/>
      <c r="AA56" s="17"/>
    </row>
    <row r="57" spans="1:27" ht="12.4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ySplit="3" topLeftCell="A4" activePane="bottomLeft" state="frozen"/>
      <selection pane="bottomLeft" activeCell="A4" sqref="A4"/>
    </sheetView>
  </sheetViews>
  <sheetFormatPr defaultRowHeight="12"/>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c r="A1" s="380" t="s">
        <v>462</v>
      </c>
      <c r="B1" s="381"/>
      <c r="C1" s="381"/>
      <c r="D1" s="381"/>
      <c r="E1" s="382"/>
      <c r="F1" s="474">
        <v>45439</v>
      </c>
    </row>
    <row r="2" spans="1:6" ht="13.3">
      <c r="B2" s="383"/>
      <c r="C2" s="383"/>
      <c r="D2" s="383"/>
      <c r="E2" s="383"/>
      <c r="F2" s="383"/>
    </row>
    <row r="3" spans="1:6" ht="13.3">
      <c r="A3" s="384" t="s">
        <v>463</v>
      </c>
      <c r="B3" s="384" t="s">
        <v>464</v>
      </c>
      <c r="C3" s="384" t="s">
        <v>465</v>
      </c>
      <c r="D3" s="384" t="s">
        <v>466</v>
      </c>
      <c r="E3" s="384" t="s">
        <v>467</v>
      </c>
      <c r="F3" s="384" t="s">
        <v>468</v>
      </c>
    </row>
    <row r="4" spans="1:6">
      <c r="A4">
        <v>24031</v>
      </c>
      <c r="B4" t="s">
        <v>1345</v>
      </c>
      <c r="C4" s="385" t="s">
        <v>1346</v>
      </c>
      <c r="D4" t="s">
        <v>496</v>
      </c>
      <c r="E4" t="s">
        <v>501</v>
      </c>
      <c r="F4">
        <v>3</v>
      </c>
    </row>
    <row r="5" spans="1:6">
      <c r="A5">
        <v>24032</v>
      </c>
      <c r="B5" t="s">
        <v>1347</v>
      </c>
      <c r="C5" s="385" t="s">
        <v>1348</v>
      </c>
      <c r="D5" t="s">
        <v>496</v>
      </c>
      <c r="E5" t="s">
        <v>1349</v>
      </c>
      <c r="F5">
        <v>2</v>
      </c>
    </row>
    <row r="6" spans="1:6">
      <c r="A6">
        <v>24001</v>
      </c>
      <c r="B6" t="s">
        <v>1350</v>
      </c>
      <c r="C6" s="385" t="s">
        <v>1351</v>
      </c>
      <c r="D6" t="s">
        <v>496</v>
      </c>
      <c r="E6" t="s">
        <v>678</v>
      </c>
      <c r="F6">
        <v>3</v>
      </c>
    </row>
    <row r="7" spans="1:6">
      <c r="A7">
        <v>24002</v>
      </c>
      <c r="B7" t="s">
        <v>1352</v>
      </c>
      <c r="C7" s="385" t="s">
        <v>1353</v>
      </c>
      <c r="D7" t="s">
        <v>496</v>
      </c>
      <c r="E7" t="s">
        <v>678</v>
      </c>
      <c r="F7">
        <v>2</v>
      </c>
    </row>
    <row r="8" spans="1:6">
      <c r="A8">
        <v>24033</v>
      </c>
      <c r="B8" t="s">
        <v>1354</v>
      </c>
      <c r="C8" s="385" t="s">
        <v>1355</v>
      </c>
      <c r="D8" t="s">
        <v>497</v>
      </c>
      <c r="E8" t="s">
        <v>757</v>
      </c>
      <c r="F8">
        <v>2</v>
      </c>
    </row>
    <row r="9" spans="1:6">
      <c r="A9">
        <v>24079</v>
      </c>
      <c r="B9" t="s">
        <v>1356</v>
      </c>
      <c r="C9" s="385" t="s">
        <v>1357</v>
      </c>
      <c r="D9" t="s">
        <v>1358</v>
      </c>
      <c r="E9" t="s">
        <v>597</v>
      </c>
      <c r="F9">
        <v>3</v>
      </c>
    </row>
    <row r="10" spans="1:6">
      <c r="A10">
        <v>24076</v>
      </c>
      <c r="B10" t="s">
        <v>1359</v>
      </c>
      <c r="C10" s="385" t="s">
        <v>1360</v>
      </c>
      <c r="D10" t="s">
        <v>1361</v>
      </c>
      <c r="E10" t="s">
        <v>505</v>
      </c>
      <c r="F10">
        <v>2</v>
      </c>
    </row>
    <row r="11" spans="1:6">
      <c r="A11">
        <v>24058</v>
      </c>
      <c r="B11" t="s">
        <v>1362</v>
      </c>
      <c r="C11" s="385" t="s">
        <v>1360</v>
      </c>
      <c r="D11" t="s">
        <v>500</v>
      </c>
      <c r="E11" t="s">
        <v>501</v>
      </c>
      <c r="F11">
        <v>3</v>
      </c>
    </row>
    <row r="12" spans="1:6">
      <c r="A12">
        <v>24034</v>
      </c>
      <c r="B12" t="s">
        <v>1363</v>
      </c>
      <c r="C12" s="385" t="s">
        <v>1360</v>
      </c>
      <c r="D12" t="s">
        <v>503</v>
      </c>
      <c r="E12" t="s">
        <v>504</v>
      </c>
      <c r="F12">
        <v>2</v>
      </c>
    </row>
    <row r="13" spans="1:6">
      <c r="A13">
        <v>24035</v>
      </c>
      <c r="B13" t="s">
        <v>1364</v>
      </c>
      <c r="C13" s="385" t="s">
        <v>1365</v>
      </c>
      <c r="D13" t="s">
        <v>506</v>
      </c>
      <c r="E13" t="s">
        <v>507</v>
      </c>
      <c r="F13">
        <v>3</v>
      </c>
    </row>
    <row r="14" spans="1:6">
      <c r="A14">
        <v>24059</v>
      </c>
      <c r="B14" t="s">
        <v>1366</v>
      </c>
      <c r="C14" s="385" t="s">
        <v>1367</v>
      </c>
      <c r="D14" t="s">
        <v>500</v>
      </c>
      <c r="E14" t="s">
        <v>501</v>
      </c>
      <c r="F14">
        <v>3</v>
      </c>
    </row>
    <row r="15" spans="1:6">
      <c r="A15">
        <v>24003</v>
      </c>
      <c r="B15" t="s">
        <v>1368</v>
      </c>
      <c r="C15" s="385" t="s">
        <v>1367</v>
      </c>
      <c r="D15" t="s">
        <v>541</v>
      </c>
      <c r="E15" t="s">
        <v>216</v>
      </c>
      <c r="F15">
        <v>2</v>
      </c>
    </row>
    <row r="16" spans="1:6">
      <c r="A16">
        <v>24060</v>
      </c>
      <c r="B16" t="s">
        <v>1369</v>
      </c>
      <c r="C16" s="385" t="s">
        <v>1370</v>
      </c>
      <c r="D16" t="s">
        <v>506</v>
      </c>
      <c r="E16" t="s">
        <v>650</v>
      </c>
      <c r="F16">
        <v>2</v>
      </c>
    </row>
    <row r="17" spans="1:6">
      <c r="A17">
        <v>24036</v>
      </c>
      <c r="B17" t="s">
        <v>1371</v>
      </c>
      <c r="C17" s="385" t="s">
        <v>1370</v>
      </c>
      <c r="D17" t="s">
        <v>1358</v>
      </c>
      <c r="E17" t="s">
        <v>597</v>
      </c>
      <c r="F17">
        <v>3</v>
      </c>
    </row>
    <row r="18" spans="1:6">
      <c r="A18">
        <v>24071</v>
      </c>
      <c r="B18" t="s">
        <v>1372</v>
      </c>
      <c r="C18" s="385" t="s">
        <v>1370</v>
      </c>
      <c r="D18" t="s">
        <v>527</v>
      </c>
      <c r="E18" t="s">
        <v>678</v>
      </c>
      <c r="F18">
        <v>2</v>
      </c>
    </row>
    <row r="19" spans="1:6">
      <c r="A19">
        <v>24037</v>
      </c>
      <c r="B19" t="s">
        <v>1373</v>
      </c>
      <c r="C19" s="385" t="s">
        <v>1374</v>
      </c>
      <c r="D19" t="s">
        <v>506</v>
      </c>
      <c r="E19" t="s">
        <v>507</v>
      </c>
      <c r="F19">
        <v>2</v>
      </c>
    </row>
    <row r="20" spans="1:6">
      <c r="A20">
        <v>24061</v>
      </c>
      <c r="B20" t="s">
        <v>1375</v>
      </c>
      <c r="C20" s="385" t="s">
        <v>1374</v>
      </c>
      <c r="D20" t="s">
        <v>534</v>
      </c>
      <c r="E20" t="s">
        <v>535</v>
      </c>
      <c r="F20">
        <v>3</v>
      </c>
    </row>
    <row r="21" spans="1:6">
      <c r="A21">
        <v>24038</v>
      </c>
      <c r="B21" t="s">
        <v>1376</v>
      </c>
      <c r="C21" s="385" t="s">
        <v>1377</v>
      </c>
      <c r="D21" t="s">
        <v>497</v>
      </c>
      <c r="E21" t="s">
        <v>757</v>
      </c>
      <c r="F21">
        <v>2</v>
      </c>
    </row>
    <row r="22" spans="1:6">
      <c r="A22">
        <v>24004</v>
      </c>
      <c r="B22" t="s">
        <v>1378</v>
      </c>
      <c r="C22" s="385" t="s">
        <v>1377</v>
      </c>
      <c r="D22" t="s">
        <v>541</v>
      </c>
      <c r="E22" t="s">
        <v>216</v>
      </c>
      <c r="F22">
        <v>3</v>
      </c>
    </row>
    <row r="23" spans="1:6">
      <c r="A23">
        <v>24039</v>
      </c>
      <c r="B23" t="s">
        <v>1379</v>
      </c>
      <c r="C23" s="385" t="s">
        <v>1380</v>
      </c>
      <c r="D23" t="s">
        <v>497</v>
      </c>
      <c r="E23" t="s">
        <v>757</v>
      </c>
      <c r="F23">
        <v>1</v>
      </c>
    </row>
    <row r="24" spans="1:6">
      <c r="A24">
        <v>24005</v>
      </c>
      <c r="B24" t="s">
        <v>498</v>
      </c>
      <c r="C24" s="385" t="s">
        <v>1381</v>
      </c>
      <c r="D24" t="s">
        <v>499</v>
      </c>
      <c r="E24" t="s">
        <v>584</v>
      </c>
      <c r="F24">
        <v>2</v>
      </c>
    </row>
    <row r="25" spans="1:6">
      <c r="A25">
        <v>24062</v>
      </c>
      <c r="B25" t="s">
        <v>1382</v>
      </c>
      <c r="C25" s="385" t="s">
        <v>1381</v>
      </c>
      <c r="D25" t="s">
        <v>506</v>
      </c>
      <c r="E25" t="s">
        <v>507</v>
      </c>
      <c r="F25">
        <v>2</v>
      </c>
    </row>
    <row r="26" spans="1:6">
      <c r="A26">
        <v>24067</v>
      </c>
      <c r="B26" t="s">
        <v>1383</v>
      </c>
      <c r="C26" s="385" t="s">
        <v>1381</v>
      </c>
      <c r="D26" t="s">
        <v>1384</v>
      </c>
      <c r="E26" t="s">
        <v>522</v>
      </c>
      <c r="F26">
        <v>3</v>
      </c>
    </row>
    <row r="27" spans="1:6">
      <c r="A27">
        <v>24007</v>
      </c>
      <c r="B27" t="s">
        <v>1385</v>
      </c>
      <c r="C27" s="385" t="s">
        <v>1386</v>
      </c>
      <c r="D27" t="s">
        <v>1387</v>
      </c>
      <c r="E27" t="s">
        <v>526</v>
      </c>
      <c r="F27">
        <v>3</v>
      </c>
    </row>
    <row r="28" spans="1:6">
      <c r="A28">
        <v>24070</v>
      </c>
      <c r="B28" t="s">
        <v>1388</v>
      </c>
      <c r="C28" s="385" t="s">
        <v>1386</v>
      </c>
      <c r="D28" t="s">
        <v>1389</v>
      </c>
      <c r="E28" t="s">
        <v>612</v>
      </c>
      <c r="F28">
        <v>2</v>
      </c>
    </row>
    <row r="29" spans="1:6">
      <c r="A29">
        <v>24006</v>
      </c>
      <c r="B29" t="s">
        <v>1390</v>
      </c>
      <c r="C29" s="385" t="s">
        <v>1386</v>
      </c>
      <c r="D29" t="s">
        <v>1391</v>
      </c>
      <c r="E29" t="s">
        <v>1391</v>
      </c>
      <c r="F29">
        <v>3</v>
      </c>
    </row>
    <row r="30" spans="1:6">
      <c r="A30">
        <v>24040</v>
      </c>
      <c r="B30" t="s">
        <v>1392</v>
      </c>
      <c r="C30" s="385" t="s">
        <v>1393</v>
      </c>
      <c r="D30" t="s">
        <v>1394</v>
      </c>
      <c r="E30" t="s">
        <v>1395</v>
      </c>
      <c r="F30">
        <v>2</v>
      </c>
    </row>
    <row r="31" spans="1:6">
      <c r="A31">
        <v>24008</v>
      </c>
      <c r="B31" t="s">
        <v>530</v>
      </c>
      <c r="C31" s="385" t="s">
        <v>1393</v>
      </c>
      <c r="D31" t="s">
        <v>523</v>
      </c>
      <c r="E31" t="s">
        <v>505</v>
      </c>
      <c r="F31">
        <v>1</v>
      </c>
    </row>
    <row r="32" spans="1:6">
      <c r="A32">
        <v>24068</v>
      </c>
      <c r="B32" t="s">
        <v>511</v>
      </c>
      <c r="C32" s="385" t="s">
        <v>1396</v>
      </c>
      <c r="D32" t="s">
        <v>512</v>
      </c>
      <c r="E32" t="s">
        <v>513</v>
      </c>
      <c r="F32">
        <v>2</v>
      </c>
    </row>
    <row r="33" spans="1:6">
      <c r="A33">
        <v>24063</v>
      </c>
      <c r="B33" t="s">
        <v>1397</v>
      </c>
      <c r="C33" s="385" t="s">
        <v>1396</v>
      </c>
      <c r="D33" t="s">
        <v>500</v>
      </c>
      <c r="E33" t="s">
        <v>501</v>
      </c>
      <c r="F33">
        <v>2</v>
      </c>
    </row>
    <row r="34" spans="1:6">
      <c r="A34">
        <v>24009</v>
      </c>
      <c r="B34" t="s">
        <v>1398</v>
      </c>
      <c r="C34" s="385" t="s">
        <v>1396</v>
      </c>
      <c r="D34" t="s">
        <v>1399</v>
      </c>
      <c r="E34" t="s">
        <v>1400</v>
      </c>
      <c r="F34">
        <v>3</v>
      </c>
    </row>
    <row r="35" spans="1:6">
      <c r="A35">
        <v>24041</v>
      </c>
      <c r="B35" t="s">
        <v>508</v>
      </c>
      <c r="C35" s="385" t="s">
        <v>1396</v>
      </c>
      <c r="D35" t="s">
        <v>509</v>
      </c>
      <c r="E35" t="s">
        <v>510</v>
      </c>
      <c r="F35">
        <v>2</v>
      </c>
    </row>
    <row r="36" spans="1:6">
      <c r="A36">
        <v>24010</v>
      </c>
      <c r="B36" t="s">
        <v>529</v>
      </c>
      <c r="C36" s="385" t="s">
        <v>1401</v>
      </c>
      <c r="D36" t="s">
        <v>1402</v>
      </c>
      <c r="E36" t="s">
        <v>515</v>
      </c>
      <c r="F36">
        <v>3</v>
      </c>
    </row>
    <row r="37" spans="1:6">
      <c r="A37">
        <v>24042</v>
      </c>
      <c r="B37" t="s">
        <v>502</v>
      </c>
      <c r="C37" s="385" t="s">
        <v>1401</v>
      </c>
      <c r="D37" t="s">
        <v>503</v>
      </c>
      <c r="E37" t="s">
        <v>504</v>
      </c>
      <c r="F37">
        <v>1</v>
      </c>
    </row>
    <row r="38" spans="1:6">
      <c r="A38">
        <v>24043</v>
      </c>
      <c r="B38" t="s">
        <v>1403</v>
      </c>
      <c r="C38" s="385" t="s">
        <v>1404</v>
      </c>
      <c r="D38" t="s">
        <v>1405</v>
      </c>
      <c r="E38" t="s">
        <v>1406</v>
      </c>
      <c r="F38">
        <v>3</v>
      </c>
    </row>
    <row r="39" spans="1:6">
      <c r="A39">
        <v>24011</v>
      </c>
      <c r="B39" t="s">
        <v>1407</v>
      </c>
      <c r="C39" s="385" t="s">
        <v>1404</v>
      </c>
      <c r="D39" t="s">
        <v>1408</v>
      </c>
      <c r="E39" t="s">
        <v>1409</v>
      </c>
      <c r="F39">
        <v>3</v>
      </c>
    </row>
    <row r="40" spans="1:6">
      <c r="A40">
        <v>24074</v>
      </c>
      <c r="B40" t="s">
        <v>1410</v>
      </c>
      <c r="C40" s="385" t="s">
        <v>1404</v>
      </c>
      <c r="D40" t="s">
        <v>1411</v>
      </c>
      <c r="E40" t="s">
        <v>571</v>
      </c>
      <c r="F40">
        <v>3</v>
      </c>
    </row>
    <row r="41" spans="1:6">
      <c r="A41">
        <v>24012</v>
      </c>
      <c r="B41" t="s">
        <v>1412</v>
      </c>
      <c r="C41" s="385" t="s">
        <v>1413</v>
      </c>
      <c r="D41" t="s">
        <v>1414</v>
      </c>
      <c r="E41" t="s">
        <v>198</v>
      </c>
      <c r="F41">
        <v>3</v>
      </c>
    </row>
    <row r="42" spans="1:6">
      <c r="A42">
        <v>24045</v>
      </c>
      <c r="B42" t="s">
        <v>1415</v>
      </c>
      <c r="C42" s="385" t="s">
        <v>1413</v>
      </c>
      <c r="D42" t="s">
        <v>514</v>
      </c>
      <c r="E42" t="s">
        <v>160</v>
      </c>
      <c r="F42">
        <v>3</v>
      </c>
    </row>
    <row r="43" spans="1:6">
      <c r="A43">
        <v>24085</v>
      </c>
      <c r="B43" t="s">
        <v>1416</v>
      </c>
      <c r="C43" s="385" t="s">
        <v>1413</v>
      </c>
      <c r="D43" t="s">
        <v>1417</v>
      </c>
      <c r="E43" t="s">
        <v>1418</v>
      </c>
      <c r="F43">
        <v>3</v>
      </c>
    </row>
    <row r="44" spans="1:6">
      <c r="A44">
        <v>24080</v>
      </c>
      <c r="B44" t="s">
        <v>1419</v>
      </c>
      <c r="C44" s="385" t="s">
        <v>1420</v>
      </c>
      <c r="D44" t="s">
        <v>527</v>
      </c>
      <c r="E44" t="s">
        <v>1349</v>
      </c>
      <c r="F44">
        <v>2</v>
      </c>
    </row>
    <row r="45" spans="1:6">
      <c r="A45">
        <v>24013</v>
      </c>
      <c r="B45" t="s">
        <v>1421</v>
      </c>
      <c r="C45" s="385" t="s">
        <v>1422</v>
      </c>
      <c r="D45" t="s">
        <v>500</v>
      </c>
      <c r="E45" t="s">
        <v>501</v>
      </c>
      <c r="F45">
        <v>2</v>
      </c>
    </row>
    <row r="46" spans="1:6">
      <c r="A46">
        <v>24088</v>
      </c>
      <c r="B46" t="s">
        <v>1423</v>
      </c>
      <c r="C46" s="385" t="s">
        <v>1422</v>
      </c>
      <c r="D46" t="s">
        <v>1358</v>
      </c>
      <c r="E46" t="s">
        <v>597</v>
      </c>
      <c r="F46">
        <v>3</v>
      </c>
    </row>
    <row r="47" spans="1:6">
      <c r="A47">
        <v>24014</v>
      </c>
      <c r="B47" t="s">
        <v>1424</v>
      </c>
      <c r="C47" s="385" t="s">
        <v>1425</v>
      </c>
      <c r="D47" t="s">
        <v>1426</v>
      </c>
      <c r="E47" t="s">
        <v>1016</v>
      </c>
      <c r="F47">
        <v>3</v>
      </c>
    </row>
    <row r="48" spans="1:6">
      <c r="A48">
        <v>24046</v>
      </c>
      <c r="B48" t="s">
        <v>532</v>
      </c>
      <c r="C48" s="385" t="s">
        <v>1427</v>
      </c>
      <c r="D48" t="s">
        <v>506</v>
      </c>
      <c r="E48" t="s">
        <v>507</v>
      </c>
      <c r="F48">
        <v>2</v>
      </c>
    </row>
    <row r="49" spans="1:6">
      <c r="A49">
        <v>24047</v>
      </c>
      <c r="B49" t="s">
        <v>519</v>
      </c>
      <c r="C49" s="385" t="s">
        <v>1428</v>
      </c>
      <c r="D49" t="s">
        <v>512</v>
      </c>
      <c r="E49" t="s">
        <v>513</v>
      </c>
      <c r="F49">
        <v>2</v>
      </c>
    </row>
    <row r="50" spans="1:6">
      <c r="A50">
        <v>24015</v>
      </c>
      <c r="B50" t="s">
        <v>1429</v>
      </c>
      <c r="C50" s="385" t="s">
        <v>1428</v>
      </c>
      <c r="D50" t="s">
        <v>495</v>
      </c>
      <c r="E50" t="s">
        <v>200</v>
      </c>
      <c r="F50">
        <v>2</v>
      </c>
    </row>
    <row r="51" spans="1:6">
      <c r="A51">
        <v>24044</v>
      </c>
      <c r="B51" t="s">
        <v>1430</v>
      </c>
      <c r="C51" s="385" t="s">
        <v>1431</v>
      </c>
      <c r="D51" t="s">
        <v>1394</v>
      </c>
      <c r="E51" t="s">
        <v>1395</v>
      </c>
      <c r="F51">
        <v>2</v>
      </c>
    </row>
    <row r="52" spans="1:6">
      <c r="A52">
        <v>24016</v>
      </c>
      <c r="B52" t="s">
        <v>1432</v>
      </c>
      <c r="C52" s="385" t="s">
        <v>1431</v>
      </c>
      <c r="D52" t="s">
        <v>523</v>
      </c>
      <c r="E52" t="s">
        <v>505</v>
      </c>
      <c r="F52">
        <v>3</v>
      </c>
    </row>
    <row r="53" spans="1:6">
      <c r="A53">
        <v>24077</v>
      </c>
      <c r="B53" t="s">
        <v>1433</v>
      </c>
      <c r="C53" s="385" t="s">
        <v>1434</v>
      </c>
      <c r="D53" t="s">
        <v>523</v>
      </c>
      <c r="E53" t="s">
        <v>505</v>
      </c>
      <c r="F53">
        <v>2</v>
      </c>
    </row>
    <row r="54" spans="1:6">
      <c r="A54">
        <v>24081</v>
      </c>
      <c r="B54" t="s">
        <v>1435</v>
      </c>
      <c r="C54" s="385" t="s">
        <v>1436</v>
      </c>
      <c r="D54" t="s">
        <v>512</v>
      </c>
      <c r="E54" t="s">
        <v>513</v>
      </c>
      <c r="F54">
        <v>2</v>
      </c>
    </row>
    <row r="55" spans="1:6">
      <c r="A55">
        <v>24048</v>
      </c>
      <c r="B55" t="s">
        <v>1437</v>
      </c>
      <c r="C55" s="385" t="s">
        <v>1436</v>
      </c>
      <c r="D55" t="s">
        <v>518</v>
      </c>
      <c r="E55" t="s">
        <v>1438</v>
      </c>
      <c r="F55">
        <v>3</v>
      </c>
    </row>
    <row r="56" spans="1:6">
      <c r="A56">
        <v>24017</v>
      </c>
      <c r="B56" t="s">
        <v>1439</v>
      </c>
      <c r="C56" s="385" t="s">
        <v>1436</v>
      </c>
      <c r="D56" t="s">
        <v>1440</v>
      </c>
      <c r="E56" t="s">
        <v>520</v>
      </c>
      <c r="F56">
        <v>3</v>
      </c>
    </row>
    <row r="57" spans="1:6">
      <c r="A57">
        <v>24064</v>
      </c>
      <c r="B57" t="s">
        <v>521</v>
      </c>
      <c r="C57" s="385" t="s">
        <v>1436</v>
      </c>
      <c r="D57" t="s">
        <v>1384</v>
      </c>
      <c r="E57" t="s">
        <v>522</v>
      </c>
      <c r="F57">
        <v>1</v>
      </c>
    </row>
    <row r="58" spans="1:6">
      <c r="A58">
        <v>24018</v>
      </c>
      <c r="B58" t="s">
        <v>1441</v>
      </c>
      <c r="C58" s="385" t="s">
        <v>1442</v>
      </c>
      <c r="F58">
        <v>0</v>
      </c>
    </row>
    <row r="59" spans="1:6">
      <c r="A59">
        <v>24049</v>
      </c>
      <c r="B59" t="s">
        <v>1443</v>
      </c>
      <c r="C59" s="385" t="s">
        <v>1442</v>
      </c>
      <c r="D59" t="s">
        <v>1444</v>
      </c>
      <c r="E59" t="s">
        <v>768</v>
      </c>
      <c r="F59">
        <v>2</v>
      </c>
    </row>
    <row r="60" spans="1:6">
      <c r="A60">
        <v>24082</v>
      </c>
      <c r="B60" t="s">
        <v>1445</v>
      </c>
      <c r="C60" s="385" t="s">
        <v>1446</v>
      </c>
      <c r="D60" t="s">
        <v>512</v>
      </c>
      <c r="E60" t="s">
        <v>513</v>
      </c>
      <c r="F60">
        <v>1</v>
      </c>
    </row>
    <row r="61" spans="1:6">
      <c r="A61">
        <v>24019</v>
      </c>
      <c r="B61" t="s">
        <v>1447</v>
      </c>
      <c r="C61" s="385" t="s">
        <v>1448</v>
      </c>
      <c r="D61" t="s">
        <v>527</v>
      </c>
      <c r="E61" t="s">
        <v>678</v>
      </c>
      <c r="F61">
        <v>2</v>
      </c>
    </row>
    <row r="62" spans="1:6">
      <c r="A62">
        <v>24020</v>
      </c>
      <c r="B62" t="s">
        <v>531</v>
      </c>
      <c r="C62" s="385" t="s">
        <v>1449</v>
      </c>
      <c r="D62" t="s">
        <v>527</v>
      </c>
      <c r="E62" t="s">
        <v>678</v>
      </c>
      <c r="F62">
        <v>1</v>
      </c>
    </row>
    <row r="63" spans="1:6">
      <c r="A63">
        <v>24083</v>
      </c>
      <c r="B63" t="s">
        <v>1450</v>
      </c>
      <c r="C63" s="385" t="s">
        <v>1451</v>
      </c>
      <c r="D63" t="s">
        <v>512</v>
      </c>
      <c r="E63" t="s">
        <v>513</v>
      </c>
      <c r="F63">
        <v>2</v>
      </c>
    </row>
    <row r="64" spans="1:6">
      <c r="A64">
        <v>24050</v>
      </c>
      <c r="B64" t="s">
        <v>524</v>
      </c>
      <c r="C64" s="385" t="s">
        <v>1451</v>
      </c>
      <c r="D64" t="s">
        <v>525</v>
      </c>
      <c r="E64" t="s">
        <v>526</v>
      </c>
      <c r="F64">
        <v>3</v>
      </c>
    </row>
    <row r="65" spans="1:6">
      <c r="A65">
        <v>24022</v>
      </c>
      <c r="B65" t="s">
        <v>1452</v>
      </c>
      <c r="C65" s="385" t="s">
        <v>1453</v>
      </c>
      <c r="D65" t="s">
        <v>527</v>
      </c>
      <c r="E65" t="s">
        <v>678</v>
      </c>
      <c r="F65">
        <v>3</v>
      </c>
    </row>
    <row r="66" spans="1:6">
      <c r="A66">
        <v>24021</v>
      </c>
      <c r="B66" t="s">
        <v>1454</v>
      </c>
      <c r="C66" s="385" t="s">
        <v>1455</v>
      </c>
      <c r="D66" t="s">
        <v>540</v>
      </c>
      <c r="E66" t="s">
        <v>546</v>
      </c>
      <c r="F66">
        <v>2</v>
      </c>
    </row>
    <row r="67" spans="1:6">
      <c r="A67">
        <v>24023</v>
      </c>
      <c r="B67" t="s">
        <v>1456</v>
      </c>
      <c r="C67" s="385" t="s">
        <v>1455</v>
      </c>
      <c r="D67" t="s">
        <v>1457</v>
      </c>
      <c r="E67" t="s">
        <v>1458</v>
      </c>
      <c r="F67">
        <v>3</v>
      </c>
    </row>
    <row r="68" spans="1:6">
      <c r="A68">
        <v>24073</v>
      </c>
      <c r="B68" t="s">
        <v>1459</v>
      </c>
      <c r="C68" s="385" t="s">
        <v>1460</v>
      </c>
      <c r="D68" t="s">
        <v>540</v>
      </c>
      <c r="E68" t="s">
        <v>546</v>
      </c>
      <c r="F68">
        <v>1</v>
      </c>
    </row>
    <row r="69" spans="1:6">
      <c r="A69">
        <v>24024</v>
      </c>
      <c r="B69" t="s">
        <v>1461</v>
      </c>
      <c r="C69" s="385" t="s">
        <v>1462</v>
      </c>
      <c r="D69" t="s">
        <v>1414</v>
      </c>
      <c r="E69" t="s">
        <v>198</v>
      </c>
      <c r="F69">
        <v>3</v>
      </c>
    </row>
    <row r="70" spans="1:6">
      <c r="A70">
        <v>24025</v>
      </c>
      <c r="B70" t="s">
        <v>536</v>
      </c>
      <c r="C70" s="385" t="s">
        <v>1463</v>
      </c>
      <c r="D70" t="s">
        <v>506</v>
      </c>
      <c r="E70" t="s">
        <v>507</v>
      </c>
      <c r="F70">
        <v>2</v>
      </c>
    </row>
    <row r="71" spans="1:6">
      <c r="A71">
        <v>24026</v>
      </c>
      <c r="B71" t="s">
        <v>1464</v>
      </c>
      <c r="C71" s="385" t="s">
        <v>1465</v>
      </c>
      <c r="F71">
        <v>0</v>
      </c>
    </row>
    <row r="72" spans="1:6">
      <c r="A72">
        <v>24051</v>
      </c>
      <c r="B72" t="s">
        <v>533</v>
      </c>
      <c r="C72" s="385" t="s">
        <v>1465</v>
      </c>
      <c r="D72" t="s">
        <v>534</v>
      </c>
      <c r="E72" t="s">
        <v>535</v>
      </c>
      <c r="F72">
        <v>3</v>
      </c>
    </row>
    <row r="73" spans="1:6">
      <c r="A73">
        <v>24084</v>
      </c>
      <c r="B73" t="s">
        <v>1466</v>
      </c>
      <c r="C73" s="385" t="s">
        <v>1467</v>
      </c>
      <c r="D73" t="s">
        <v>512</v>
      </c>
      <c r="E73" t="s">
        <v>513</v>
      </c>
      <c r="F73">
        <v>1</v>
      </c>
    </row>
    <row r="74" spans="1:6">
      <c r="A74">
        <v>24027</v>
      </c>
      <c r="B74" t="s">
        <v>1468</v>
      </c>
      <c r="C74" s="385" t="s">
        <v>1467</v>
      </c>
      <c r="D74" t="s">
        <v>499</v>
      </c>
      <c r="E74" t="s">
        <v>584</v>
      </c>
      <c r="F74">
        <v>2</v>
      </c>
    </row>
    <row r="75" spans="1:6">
      <c r="A75">
        <v>24028</v>
      </c>
      <c r="B75" t="s">
        <v>1469</v>
      </c>
      <c r="C75" s="385" t="s">
        <v>1467</v>
      </c>
      <c r="D75" t="s">
        <v>1389</v>
      </c>
      <c r="E75" t="s">
        <v>612</v>
      </c>
      <c r="F75">
        <v>3</v>
      </c>
    </row>
    <row r="76" spans="1:6">
      <c r="A76">
        <v>24029</v>
      </c>
      <c r="B76" t="s">
        <v>1470</v>
      </c>
      <c r="C76" s="385" t="s">
        <v>1471</v>
      </c>
      <c r="D76" t="s">
        <v>500</v>
      </c>
      <c r="E76" t="s">
        <v>501</v>
      </c>
      <c r="F76">
        <v>2</v>
      </c>
    </row>
    <row r="77" spans="1:6">
      <c r="A77">
        <v>24069</v>
      </c>
      <c r="B77" t="s">
        <v>1472</v>
      </c>
      <c r="C77" s="385" t="s">
        <v>1471</v>
      </c>
      <c r="D77" t="s">
        <v>500</v>
      </c>
      <c r="E77" t="s">
        <v>501</v>
      </c>
      <c r="F77">
        <v>2</v>
      </c>
    </row>
    <row r="78" spans="1:6">
      <c r="A78">
        <v>24052</v>
      </c>
      <c r="B78" t="s">
        <v>537</v>
      </c>
      <c r="C78" s="385" t="s">
        <v>1471</v>
      </c>
      <c r="D78" t="s">
        <v>1384</v>
      </c>
      <c r="E78" t="s">
        <v>522</v>
      </c>
      <c r="F78">
        <v>2</v>
      </c>
    </row>
    <row r="79" spans="1:6">
      <c r="A79">
        <v>24030</v>
      </c>
      <c r="B79" t="s">
        <v>538</v>
      </c>
      <c r="C79" s="385" t="s">
        <v>1473</v>
      </c>
      <c r="D79" t="s">
        <v>500</v>
      </c>
      <c r="E79" t="s">
        <v>501</v>
      </c>
      <c r="F79">
        <v>3</v>
      </c>
    </row>
    <row r="80" spans="1:6">
      <c r="A80">
        <v>24075</v>
      </c>
      <c r="B80" t="s">
        <v>1474</v>
      </c>
      <c r="C80" s="385" t="s">
        <v>1473</v>
      </c>
      <c r="D80" t="s">
        <v>1411</v>
      </c>
      <c r="E80" t="s">
        <v>571</v>
      </c>
      <c r="F80">
        <v>3</v>
      </c>
    </row>
    <row r="81" spans="1:6">
      <c r="A81">
        <v>24065</v>
      </c>
      <c r="B81" t="s">
        <v>539</v>
      </c>
      <c r="C81" s="385" t="s">
        <v>1475</v>
      </c>
      <c r="D81" t="s">
        <v>503</v>
      </c>
      <c r="E81" t="s">
        <v>504</v>
      </c>
      <c r="F81">
        <v>2</v>
      </c>
    </row>
    <row r="82" spans="1:6">
      <c r="A82">
        <v>24053</v>
      </c>
      <c r="B82" t="s">
        <v>542</v>
      </c>
      <c r="C82" s="385" t="s">
        <v>1475</v>
      </c>
      <c r="D82" t="s">
        <v>506</v>
      </c>
      <c r="E82" t="s">
        <v>507</v>
      </c>
      <c r="F82">
        <v>2</v>
      </c>
    </row>
    <row r="83" spans="1:6">
      <c r="A83">
        <v>24054</v>
      </c>
      <c r="B83" t="s">
        <v>1476</v>
      </c>
      <c r="C83" s="385" t="s">
        <v>1477</v>
      </c>
      <c r="D83" t="s">
        <v>509</v>
      </c>
      <c r="E83" t="s">
        <v>510</v>
      </c>
      <c r="F83">
        <v>3</v>
      </c>
    </row>
    <row r="84" spans="1:6">
      <c r="A84">
        <v>24072</v>
      </c>
      <c r="B84" t="s">
        <v>1478</v>
      </c>
      <c r="C84" s="385" t="s">
        <v>1477</v>
      </c>
      <c r="D84" t="s">
        <v>527</v>
      </c>
      <c r="E84" t="s">
        <v>678</v>
      </c>
      <c r="F84">
        <v>2</v>
      </c>
    </row>
    <row r="85" spans="1:6">
      <c r="A85">
        <v>24055</v>
      </c>
      <c r="B85" t="s">
        <v>1479</v>
      </c>
      <c r="C85" s="385" t="s">
        <v>1480</v>
      </c>
      <c r="D85" t="s">
        <v>495</v>
      </c>
      <c r="E85" t="s">
        <v>200</v>
      </c>
      <c r="F85">
        <v>2</v>
      </c>
    </row>
    <row r="86" spans="1:6">
      <c r="A86">
        <v>24066</v>
      </c>
      <c r="B86" t="s">
        <v>1481</v>
      </c>
      <c r="C86" s="385" t="s">
        <v>1480</v>
      </c>
      <c r="D86" t="s">
        <v>1405</v>
      </c>
      <c r="E86" t="s">
        <v>1406</v>
      </c>
      <c r="F86">
        <v>2</v>
      </c>
    </row>
    <row r="87" spans="1:6">
      <c r="A87">
        <v>24056</v>
      </c>
      <c r="B87" t="s">
        <v>543</v>
      </c>
      <c r="C87" s="385" t="s">
        <v>1482</v>
      </c>
      <c r="D87" t="s">
        <v>506</v>
      </c>
      <c r="E87" t="s">
        <v>516</v>
      </c>
      <c r="F87">
        <v>3</v>
      </c>
    </row>
    <row r="88" spans="1:6">
      <c r="A88">
        <v>24078</v>
      </c>
      <c r="B88" t="s">
        <v>1483</v>
      </c>
      <c r="C88" s="385" t="s">
        <v>1484</v>
      </c>
      <c r="D88" t="s">
        <v>523</v>
      </c>
      <c r="E88" t="s">
        <v>505</v>
      </c>
      <c r="F88">
        <v>2</v>
      </c>
    </row>
    <row r="89" spans="1:6">
      <c r="A89">
        <v>24086</v>
      </c>
      <c r="B89" t="s">
        <v>1485</v>
      </c>
      <c r="C89" s="385" t="s">
        <v>1486</v>
      </c>
      <c r="D89" t="s">
        <v>496</v>
      </c>
      <c r="E89" t="s">
        <v>501</v>
      </c>
      <c r="F89">
        <v>3</v>
      </c>
    </row>
    <row r="90" spans="1:6">
      <c r="A90">
        <v>24087</v>
      </c>
      <c r="B90" t="s">
        <v>1487</v>
      </c>
      <c r="C90" s="385" t="s">
        <v>1488</v>
      </c>
      <c r="D90" t="s">
        <v>496</v>
      </c>
      <c r="E90" t="s">
        <v>1349</v>
      </c>
      <c r="F90">
        <v>2</v>
      </c>
    </row>
    <row r="91" spans="1:6">
      <c r="A91">
        <v>24057</v>
      </c>
      <c r="B91" t="s">
        <v>1489</v>
      </c>
      <c r="C91" s="385" t="s">
        <v>1490</v>
      </c>
      <c r="D91" t="s">
        <v>497</v>
      </c>
      <c r="E91" t="s">
        <v>757</v>
      </c>
      <c r="F91">
        <v>2</v>
      </c>
    </row>
    <row r="92" spans="1:6">
      <c r="C92" s="385"/>
    </row>
    <row r="93" spans="1:6">
      <c r="C93" s="385"/>
    </row>
    <row r="94" spans="1:6">
      <c r="C94" s="385"/>
    </row>
    <row r="95" spans="1:6">
      <c r="C95" s="385"/>
    </row>
    <row r="96" spans="1:6">
      <c r="C96" s="385"/>
    </row>
    <row r="97" spans="3:3">
      <c r="C97" s="385"/>
    </row>
    <row r="98" spans="3:3">
      <c r="C98" s="385"/>
    </row>
    <row r="99" spans="3:3">
      <c r="C99" s="385"/>
    </row>
    <row r="100" spans="3:3">
      <c r="C100" s="385"/>
    </row>
    <row r="101" spans="3:3">
      <c r="C101" s="385"/>
    </row>
    <row r="102" spans="3:3">
      <c r="C102" s="385"/>
    </row>
    <row r="103" spans="3:3">
      <c r="C103" s="385"/>
    </row>
    <row r="104" spans="3:3">
      <c r="C104" s="385"/>
    </row>
    <row r="105" spans="3:3">
      <c r="C105" s="385"/>
    </row>
    <row r="106" spans="3:3">
      <c r="C106" s="385"/>
    </row>
    <row r="107" spans="3:3">
      <c r="C107" s="385"/>
    </row>
    <row r="108" spans="3:3">
      <c r="C108" s="385"/>
    </row>
    <row r="109" spans="3:3">
      <c r="C109" s="385"/>
    </row>
    <row r="110" spans="3:3">
      <c r="C110" s="385"/>
    </row>
    <row r="111" spans="3:3">
      <c r="C111" s="385"/>
    </row>
    <row r="112" spans="3:3">
      <c r="C112" s="385"/>
    </row>
    <row r="113" spans="3:3">
      <c r="C113" s="385"/>
    </row>
    <row r="114" spans="3:3">
      <c r="C114" s="385"/>
    </row>
    <row r="115" spans="3:3">
      <c r="C115" s="385"/>
    </row>
    <row r="116" spans="3:3">
      <c r="C116" s="385"/>
    </row>
    <row r="117" spans="3:3">
      <c r="C117" s="385"/>
    </row>
    <row r="118" spans="3:3">
      <c r="C118" s="385"/>
    </row>
    <row r="119" spans="3:3">
      <c r="C119" s="385"/>
    </row>
    <row r="120" spans="3:3">
      <c r="C120" s="38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5" customHeight="1" thickBot="1">
      <c r="A2" s="70"/>
      <c r="B2" s="331"/>
      <c r="C2" s="332">
        <v>8</v>
      </c>
      <c r="D2" s="157" t="s">
        <v>120</v>
      </c>
      <c r="E2" s="16"/>
      <c r="F2" s="17"/>
      <c r="G2" s="219">
        <v>4</v>
      </c>
      <c r="H2" s="157" t="s">
        <v>134</v>
      </c>
      <c r="I2" s="17"/>
      <c r="J2" s="17"/>
      <c r="K2" s="219">
        <v>2</v>
      </c>
      <c r="L2" s="157" t="s">
        <v>132</v>
      </c>
      <c r="M2" s="17"/>
      <c r="N2" s="17"/>
      <c r="O2" s="219">
        <v>1</v>
      </c>
      <c r="P2" s="178" t="s">
        <v>133</v>
      </c>
      <c r="Q2" s="17"/>
      <c r="R2" s="17"/>
      <c r="S2" s="17"/>
      <c r="T2" s="16"/>
      <c r="U2" s="17"/>
      <c r="V2" s="16"/>
      <c r="W2" s="17"/>
      <c r="X2" s="17"/>
      <c r="Y2" s="17"/>
      <c r="Z2" s="16"/>
      <c r="AA2" s="17"/>
    </row>
    <row r="3" spans="1:30" ht="28.95" customHeight="1" thickBot="1">
      <c r="A3" s="17"/>
      <c r="B3" s="17"/>
      <c r="C3" s="33"/>
      <c r="D3" s="371" t="s">
        <v>447</v>
      </c>
      <c r="E3" s="374" t="str">
        <f ca="1">IF(OR(TRIM(D4)="-",TRIM(D5)="-"),"",VLOOKUP(MIN(C4,C5),Hřiště!$B$11:$E$42,4,0))</f>
        <v/>
      </c>
      <c r="F3" s="80"/>
      <c r="G3" s="80"/>
      <c r="H3" s="125"/>
      <c r="I3" s="82"/>
      <c r="J3" s="80"/>
      <c r="K3" s="80"/>
      <c r="L3" s="125"/>
      <c r="M3" s="82"/>
      <c r="N3" s="80"/>
      <c r="O3" s="80"/>
      <c r="P3" s="125"/>
      <c r="Q3" s="82"/>
      <c r="R3" s="80"/>
      <c r="S3" s="80"/>
      <c r="T3" s="86"/>
      <c r="U3" s="281"/>
      <c r="V3" s="16"/>
      <c r="W3" s="17"/>
      <c r="X3" s="17"/>
      <c r="Y3" s="17"/>
      <c r="Z3" s="16"/>
      <c r="AA3" s="17"/>
    </row>
    <row r="4" spans="1:30" ht="18" thickBot="1">
      <c r="A4" s="116" t="str">
        <f ca="1">VLOOKUP(C4,Postupy!$A$3:$C$9,3,0)</f>
        <v>A1</v>
      </c>
      <c r="B4" s="17"/>
      <c r="C4" s="108">
        <v>1</v>
      </c>
      <c r="D4" s="333" t="str">
        <f ca="1">VLOOKUP(C4,Postupy!$A$3:$AI$10,35,0)</f>
        <v>1 Carreau Brno - Michálek Tomáš</v>
      </c>
      <c r="E4" s="155">
        <f ca="1">VLOOKUP(C4,Postupy!$A$3:$AJ$10,36,0)</f>
        <v>1</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VLOOKUP(C5,Postupy!$A$3:$C$18,3,0)</f>
        <v>H1</v>
      </c>
      <c r="B5" s="17"/>
      <c r="C5" s="110">
        <v>8</v>
      </c>
      <c r="D5" s="333" t="str">
        <f ca="1">VLOOKUP(C5,Postupy!$A$3:$AI$10,35,0)</f>
        <v>7 HRODE KRUMSÍN - Motl Bohuslav</v>
      </c>
      <c r="E5" s="156">
        <f ca="1">VLOOKUP(C5,Postupy!$A$3:$AJ$10,36,0)</f>
        <v>0</v>
      </c>
      <c r="F5" s="21"/>
      <c r="G5" s="26"/>
      <c r="H5" s="371" t="s">
        <v>447</v>
      </c>
      <c r="I5" s="374"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7"/>
      <c r="B6" s="22"/>
      <c r="C6" s="28"/>
      <c r="D6" s="282"/>
      <c r="E6" s="28"/>
      <c r="F6" s="17"/>
      <c r="G6" s="108">
        <v>1</v>
      </c>
      <c r="H6" s="109" t="str">
        <f ca="1">IF(OR(TRIM(D4)="-",TRIM(D5)="-"), IF(TRIM(D4)="-",D5,D4),IF(AND(E4="",E5="")," ",IF(N(E4)=N(E5)," ",IF(N(E4)&gt;N(E5),D4,D5))))</f>
        <v>1 Carreau Brno - Michálek Tomáš</v>
      </c>
      <c r="I6" s="155">
        <f ca="1">VLOOKUP(G6,Postupy!$A$3:$AL$6,38,0)</f>
        <v>1</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4"/>
      <c r="B7" s="33"/>
      <c r="C7" s="17"/>
      <c r="D7" s="371" t="s">
        <v>447</v>
      </c>
      <c r="E7" s="374" t="str">
        <f ca="1">IF(OR(TRIM(D8)="-",TRIM(D9)="-"),"",VLOOKUP(MIN(C8,C9),Hřiště!$B$11:$E$42,4,0))</f>
        <v/>
      </c>
      <c r="F7" s="17"/>
      <c r="G7" s="110">
        <v>4</v>
      </c>
      <c r="H7" s="111" t="str">
        <f ca="1">IF(OR(TRIM(D8)="-",TRIM(D9)="-"), IF(TRIM(D8)="-",D9,D8),IF(AND(E8="",E9="")," ",IF(N(E8)=N(E9)," ",IF(N(E8)&gt;N(E9),D8,D9))))</f>
        <v>4 CdP Loděnice - Resl Jan</v>
      </c>
      <c r="I7" s="156">
        <f ca="1">VLOOKUP(G7,Postupy!$A$3:$AL$6,38,0)</f>
        <v>0</v>
      </c>
      <c r="J7" s="21"/>
      <c r="K7" s="26"/>
      <c r="L7" s="36"/>
      <c r="M7" s="16"/>
      <c r="N7" s="17"/>
      <c r="O7" s="17"/>
      <c r="P7" s="17"/>
      <c r="Q7" s="17"/>
      <c r="R7" s="17"/>
      <c r="S7" s="17"/>
      <c r="T7" s="17"/>
      <c r="U7" s="17"/>
      <c r="V7" s="16"/>
      <c r="W7" s="17"/>
      <c r="X7" s="17"/>
      <c r="Y7" s="17"/>
      <c r="Z7" s="16"/>
      <c r="AA7" s="17"/>
      <c r="AB7" s="17"/>
      <c r="AC7" s="17"/>
      <c r="AD7" s="17"/>
    </row>
    <row r="8" spans="1:30" ht="18.45" thickBot="1">
      <c r="A8" s="116" t="str">
        <f ca="1">VLOOKUP(C8,Postupy!$A$3:$C$18,3,0)</f>
        <v>E1</v>
      </c>
      <c r="B8" s="17"/>
      <c r="C8" s="108">
        <v>5</v>
      </c>
      <c r="D8" s="333" t="str">
        <f ca="1">VLOOKUP(C8,Postupy!$A$3:$AI$10,35,0)</f>
        <v>5 TOP - ORLOVÁ - Bačo David</v>
      </c>
      <c r="E8" s="155">
        <f ca="1">VLOOKUP(C8,Postupy!$A$3:$AJ$10,36,0)</f>
        <v>2</v>
      </c>
      <c r="F8" s="27"/>
      <c r="G8" s="26"/>
      <c r="H8" s="66"/>
      <c r="I8" s="16"/>
      <c r="J8" s="17"/>
      <c r="K8" s="26"/>
      <c r="L8" s="244" t="s">
        <v>132</v>
      </c>
      <c r="M8" s="16"/>
      <c r="N8" s="17"/>
      <c r="O8" s="17"/>
      <c r="P8" s="17"/>
      <c r="Q8" s="17"/>
      <c r="R8" s="17"/>
      <c r="S8" s="17"/>
      <c r="T8" s="17"/>
      <c r="U8" s="17"/>
      <c r="V8" s="16"/>
      <c r="W8" s="17"/>
      <c r="X8" s="17"/>
      <c r="Y8" s="17"/>
      <c r="Z8" s="16"/>
      <c r="AA8" s="17"/>
      <c r="AB8" s="17"/>
      <c r="AC8" s="17"/>
      <c r="AD8" s="17"/>
    </row>
    <row r="9" spans="1:30" ht="18.899999999999999" thickTop="1" thickBot="1">
      <c r="A9" s="116" t="str">
        <f ca="1">VLOOKUP(C9,Postupy!$A$3:$C$18,3,0)</f>
        <v>D1</v>
      </c>
      <c r="B9" s="17"/>
      <c r="C9" s="110">
        <v>4</v>
      </c>
      <c r="D9" s="333" t="str">
        <f ca="1">VLOOKUP(C9,Postupy!$A$3:$AI$10,35,0)</f>
        <v>4 CdP Loděnice - Resl Jan</v>
      </c>
      <c r="E9" s="156">
        <f ca="1">VLOOKUP(C9,Postupy!$A$3:$AJ$10,36,0)</f>
        <v>13</v>
      </c>
      <c r="F9" s="28"/>
      <c r="G9" s="17"/>
      <c r="H9" s="66"/>
      <c r="I9" s="17"/>
      <c r="J9" s="17"/>
      <c r="K9" s="26"/>
      <c r="L9" s="371" t="s">
        <v>447</v>
      </c>
      <c r="M9" s="374" t="str">
        <f ca="1">IF(OR(TRIM(L10)="-",TRIM(L11)="-"),"",VLOOKUP(MIN(K10,K11),Hřiště!$B$11:$E$42,4,0))</f>
        <v/>
      </c>
      <c r="N9" s="17"/>
      <c r="O9" s="18"/>
      <c r="P9" s="280"/>
      <c r="Q9" s="17"/>
      <c r="R9" s="17"/>
      <c r="S9" s="17"/>
      <c r="T9" s="18"/>
      <c r="U9" s="17"/>
      <c r="V9" s="17"/>
      <c r="W9" s="17"/>
      <c r="X9" s="17"/>
      <c r="Y9" s="17"/>
      <c r="Z9" s="17"/>
      <c r="AA9" s="17"/>
      <c r="AB9" s="17"/>
    </row>
    <row r="10" spans="1:30" ht="18.45" thickTop="1" thickBot="1">
      <c r="A10" s="107"/>
      <c r="B10" s="84"/>
      <c r="C10" s="85"/>
      <c r="D10" s="65"/>
      <c r="E10" s="17"/>
      <c r="F10" s="17"/>
      <c r="G10" s="17"/>
      <c r="H10" s="67"/>
      <c r="I10" s="18"/>
      <c r="J10" s="18"/>
      <c r="K10" s="108">
        <v>1</v>
      </c>
      <c r="L10" s="109" t="str">
        <f ca="1">IF(OR(TRIM(H6)="-",TRIM(H7)="-"), IF(TRIM(H6)="-",H7,H6),IF(AND(I6="",I7="")," ",IF(N(I6)=N(I7)," ",IF(N(I6)&gt;N(I7),H6,H7))))</f>
        <v>1 Carreau Brno - Michálek Tomáš</v>
      </c>
      <c r="M10" s="155">
        <f ca="1">VLOOKUP(K10,Postupy!$A$3:$AN$6,40,0)</f>
        <v>13</v>
      </c>
      <c r="N10" s="27"/>
      <c r="O10" s="39">
        <v>1</v>
      </c>
      <c r="P10" s="133" t="str">
        <f ca="1">IF(AND(M10="",M11="")," ",IF(N(M10)=N(M11)," ",IF(N(M10)&gt;N(M11),L10,L11)))</f>
        <v>1 Carreau Brno - Michálek Tomáš</v>
      </c>
      <c r="Q10" s="40">
        <v>1</v>
      </c>
      <c r="R10" s="17"/>
      <c r="S10" s="18"/>
      <c r="T10" s="17"/>
      <c r="U10" s="17"/>
      <c r="V10" s="17"/>
      <c r="W10" s="17"/>
      <c r="X10" s="17"/>
      <c r="Y10" s="17"/>
      <c r="Z10" s="17"/>
      <c r="AA10" s="17"/>
    </row>
    <row r="11" spans="1:30" ht="18.899999999999999" thickTop="1" thickBot="1">
      <c r="A11" s="104"/>
      <c r="B11" s="22"/>
      <c r="C11" s="17"/>
      <c r="D11" s="371" t="s">
        <v>447</v>
      </c>
      <c r="E11" s="374" t="str">
        <f ca="1">IF(OR(TRIM(D12)="-",TRIM(D13)="-"),"",VLOOKUP(MIN(C12,C13),Hřiště!$B$11:$E$42,4,0))</f>
        <v/>
      </c>
      <c r="F11" s="17"/>
      <c r="G11" s="17"/>
      <c r="H11" s="68"/>
      <c r="I11" s="18"/>
      <c r="J11" s="18"/>
      <c r="K11" s="110">
        <v>2</v>
      </c>
      <c r="L11" s="111" t="str">
        <f ca="1">IF(OR(TRIM(H14)="-",TRIM(H15)="-"), IF(TRIM(H14)="-",H15,H14),IF(AND(I14="",I15="")," ",IF(N(I14)=N(I15)," ",IF(N(I14)&gt;N(I15),H14,H15))))</f>
        <v>29 Carreau Brno - Grepl Jiří</v>
      </c>
      <c r="M11" s="156">
        <f ca="1">VLOOKUP(K11,Postupy!$A$3:$AN$6,40,0)</f>
        <v>3</v>
      </c>
      <c r="N11" s="17"/>
      <c r="O11" s="39">
        <v>2</v>
      </c>
      <c r="P11" s="131" t="str">
        <f ca="1">IF(AND(M10="",M11="")," ",IF(N(M11)=N(M10)," ",IF(N(M11)&gt;N(M10),L10,L11)))</f>
        <v>29 Carreau Brno - Grepl Jiří</v>
      </c>
      <c r="Q11" s="130">
        <v>2</v>
      </c>
      <c r="R11" s="17"/>
      <c r="S11" s="17"/>
      <c r="T11" s="17"/>
      <c r="U11" s="17"/>
      <c r="V11" s="17"/>
      <c r="W11" s="17"/>
      <c r="X11" s="17"/>
      <c r="Y11" s="16"/>
      <c r="Z11" s="17"/>
      <c r="AA11" s="17"/>
      <c r="AB11" s="17"/>
      <c r="AC11" s="18"/>
    </row>
    <row r="12" spans="1:30" ht="18" thickBot="1">
      <c r="A12" s="116" t="str">
        <f ca="1">VLOOKUP(C12,Postupy!$A$3:$C$18,3,0)</f>
        <v>C1</v>
      </c>
      <c r="B12" s="17"/>
      <c r="C12" s="108">
        <v>3</v>
      </c>
      <c r="D12" s="333" t="str">
        <f ca="1">VLOOKUP(C12,Postupy!$A$3:$AI$10,35,0)</f>
        <v>29 Carreau Brno - Grepl Jiří</v>
      </c>
      <c r="E12" s="155">
        <f ca="1">VLOOKUP(C12,Postupy!$A$3:$AJ$10,36,0)</f>
        <v>13</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18.899999999999999" thickTop="1" thickBot="1">
      <c r="A13" s="116" t="str">
        <f ca="1">VLOOKUP(C13,Postupy!$A$3:$C$18,3,0)</f>
        <v>F1</v>
      </c>
      <c r="B13" s="17"/>
      <c r="C13" s="110">
        <v>6</v>
      </c>
      <c r="D13" s="333" t="str">
        <f ca="1">VLOOKUP(C13,Postupy!$A$3:$AI$10,35,0)</f>
        <v>21 Carreau Brno - Ferlay Franck</v>
      </c>
      <c r="E13" s="156">
        <f ca="1">VLOOKUP(C13,Postupy!$A$3:$AJ$10,36,0)</f>
        <v>11</v>
      </c>
      <c r="F13" s="21"/>
      <c r="G13" s="26"/>
      <c r="H13" s="371" t="s">
        <v>447</v>
      </c>
      <c r="I13" s="374"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 thickBot="1">
      <c r="A14" s="107"/>
      <c r="B14" s="22"/>
      <c r="C14" s="17"/>
      <c r="D14" s="66"/>
      <c r="E14" s="17"/>
      <c r="F14" s="17"/>
      <c r="G14" s="108">
        <v>3</v>
      </c>
      <c r="H14" s="109" t="str">
        <f ca="1">IF(OR(TRIM(D12)="-",TRIM(D13)="-"), IF(TRIM(D12)="-",D13,D12),IF(AND(E12="",E13="")," ",IF(N(E12)=N(E13)," ",IF(N(E12)&gt;N(E13),D12,D13))))</f>
        <v>29 Carreau Brno - Grepl Jiří</v>
      </c>
      <c r="I14" s="155">
        <f ca="1">VLOOKUP(G14,Postupy!$A$3:$AL$6,38,0)</f>
        <v>1</v>
      </c>
      <c r="J14" s="27"/>
      <c r="K14" s="17"/>
      <c r="L14" s="36"/>
      <c r="M14" s="16"/>
      <c r="N14" s="17"/>
      <c r="O14" s="17"/>
      <c r="P14" s="19"/>
      <c r="Q14" s="17"/>
      <c r="R14" s="17"/>
      <c r="S14" s="17"/>
      <c r="T14" s="17"/>
      <c r="U14" s="18"/>
      <c r="V14" s="17"/>
      <c r="W14" s="17"/>
      <c r="X14" s="17"/>
      <c r="Y14" s="18"/>
      <c r="Z14" s="17"/>
      <c r="AA14" s="17"/>
    </row>
    <row r="15" spans="1:30" ht="18.899999999999999" thickTop="1" thickBot="1">
      <c r="A15" s="104"/>
      <c r="B15" s="33"/>
      <c r="C15" s="17"/>
      <c r="D15" s="371" t="s">
        <v>447</v>
      </c>
      <c r="E15" s="374" t="str">
        <f ca="1">IF(OR(TRIM(D16)="-",TRIM(D17)="-"),"",VLOOKUP(MIN(C16,C17),Hřiště!$B$11:$E$42,4,0))</f>
        <v/>
      </c>
      <c r="F15" s="17"/>
      <c r="G15" s="110">
        <v>2</v>
      </c>
      <c r="H15" s="111" t="str">
        <f ca="1">IF(OR(TRIM(D16)="-",TRIM(D17)="-"), IF(TRIM(D16)="-",D17,D16),IF(AND(E16="",E17="")," ",IF(N(E16)=N(E17)," ",IF(N(E16)&gt;N(E17),D16,D17))))</f>
        <v>26 HAVAJ CB - Koreš st. Jiří</v>
      </c>
      <c r="I15" s="156">
        <f ca="1">VLOOKUP(G15,Postupy!$A$3:$AL$6,38,0)</f>
        <v>0</v>
      </c>
      <c r="J15" s="28"/>
      <c r="K15" s="17"/>
      <c r="L15" s="36"/>
      <c r="M15" s="16"/>
      <c r="N15" s="17"/>
      <c r="O15" s="17"/>
      <c r="P15" s="19"/>
      <c r="Q15" s="17"/>
      <c r="R15" s="17"/>
      <c r="S15" s="17"/>
      <c r="T15" s="17"/>
      <c r="U15" s="18"/>
      <c r="V15" s="17"/>
      <c r="W15" s="17"/>
      <c r="X15" s="17"/>
      <c r="Y15" s="18"/>
      <c r="Z15" s="17"/>
      <c r="AA15" s="17"/>
    </row>
    <row r="16" spans="1:30" ht="18" thickBot="1">
      <c r="A16" s="116" t="str">
        <f ca="1">VLOOKUP(C16,Postupy!$A$3:$C$18,3,0)</f>
        <v>G1</v>
      </c>
      <c r="B16" s="17"/>
      <c r="C16" s="108">
        <v>7</v>
      </c>
      <c r="D16" s="333" t="str">
        <f ca="1">VLOOKUP(C16,Postupy!$A$3:$AI$10,35,0)</f>
        <v>26 HAVAJ CB - Koreš st. Jiří</v>
      </c>
      <c r="E16" s="155">
        <f ca="1">VLOOKUP(C16,Postupy!$A$3:$AJ$10,36,0)</f>
        <v>13</v>
      </c>
      <c r="F16" s="27"/>
      <c r="G16" s="26"/>
      <c r="H16" s="66"/>
      <c r="I16" s="16"/>
      <c r="J16" s="17"/>
      <c r="K16" s="17"/>
      <c r="L16" s="36"/>
      <c r="M16" s="16"/>
      <c r="N16" s="17"/>
      <c r="O16" s="17"/>
      <c r="P16" s="19"/>
      <c r="Q16" s="18"/>
      <c r="R16" s="17"/>
      <c r="S16" s="18"/>
      <c r="T16" s="35"/>
      <c r="U16" s="17"/>
      <c r="V16" s="17"/>
      <c r="W16" s="17"/>
      <c r="X16" s="17"/>
      <c r="Y16" s="17"/>
      <c r="Z16" s="17"/>
      <c r="AA16" s="17"/>
    </row>
    <row r="17" spans="1:27" ht="18.45" thickTop="1" thickBot="1">
      <c r="A17" s="116" t="str">
        <f ca="1">VLOOKUP(C17,Postupy!$A$3:$C$18,3,0)</f>
        <v>B1</v>
      </c>
      <c r="B17" s="17"/>
      <c r="C17" s="110">
        <v>2</v>
      </c>
      <c r="D17" s="333" t="str">
        <f ca="1">VLOOKUP(C17,Postupy!$A$3:$AI$10,35,0)</f>
        <v>17 SK Sahara Vědomice - Demčíková Jiřina</v>
      </c>
      <c r="E17" s="156">
        <f ca="1">VLOOKUP(C17,Postupy!$A$3:$AJ$10,36,0)</f>
        <v>5</v>
      </c>
      <c r="F17" s="28"/>
      <c r="G17" s="17"/>
      <c r="H17" s="66"/>
      <c r="I17" s="17"/>
      <c r="J17" s="17"/>
      <c r="K17" s="181"/>
      <c r="L17" s="242" t="s">
        <v>135</v>
      </c>
      <c r="M17" s="16"/>
      <c r="N17" s="17"/>
      <c r="O17" s="17"/>
      <c r="P17" s="284"/>
      <c r="Q17" s="18"/>
      <c r="R17" s="17"/>
      <c r="S17" s="18"/>
      <c r="T17" s="280"/>
      <c r="U17" s="17"/>
      <c r="V17" s="17"/>
      <c r="W17" s="17"/>
      <c r="X17" s="17"/>
      <c r="Y17" s="17"/>
      <c r="Z17" s="17"/>
      <c r="AA17" s="17"/>
    </row>
    <row r="18" spans="1:27" ht="15.45" thickBot="1">
      <c r="A18" s="104"/>
      <c r="B18" s="84"/>
      <c r="C18" s="85"/>
      <c r="D18" s="18"/>
      <c r="E18" s="17"/>
      <c r="F18" s="17"/>
      <c r="G18" s="17"/>
      <c r="H18" s="37"/>
      <c r="I18" s="17"/>
      <c r="J18" s="17"/>
      <c r="K18" s="17"/>
      <c r="L18" s="243" t="s">
        <v>136</v>
      </c>
      <c r="M18" s="17"/>
      <c r="N18" s="17"/>
      <c r="O18" s="17"/>
      <c r="P18" s="17"/>
      <c r="Q18" s="17"/>
      <c r="R18" s="17"/>
      <c r="S18" s="18"/>
      <c r="T18" s="17"/>
      <c r="U18" s="17"/>
      <c r="V18" s="17"/>
      <c r="W18" s="17"/>
      <c r="X18" s="17"/>
      <c r="Y18" s="17"/>
      <c r="Z18" s="17"/>
      <c r="AA18" s="17"/>
    </row>
    <row r="19" spans="1:27" ht="17.5" customHeight="1" thickBot="1">
      <c r="A19" s="17"/>
      <c r="B19" s="22"/>
      <c r="C19" s="17"/>
      <c r="D19" s="17"/>
      <c r="E19" s="17"/>
      <c r="F19" s="17"/>
      <c r="G19" s="17"/>
      <c r="H19" s="17"/>
      <c r="I19" s="17"/>
      <c r="J19" s="17"/>
      <c r="K19" s="181"/>
      <c r="L19" s="371" t="s">
        <v>447</v>
      </c>
      <c r="M19" s="374" t="str">
        <f ca="1">IF(OR(TRIM(L20)="-",TRIM(L21)="-"),"",VLOOKUP(MIN(K20,K21),Hřiště!$B$11:$E$42,4,0))</f>
        <v/>
      </c>
      <c r="N19" s="17"/>
      <c r="O19" s="17"/>
      <c r="P19" s="17"/>
      <c r="Q19" s="17"/>
      <c r="R19" s="17"/>
      <c r="S19" s="18"/>
      <c r="T19" s="17"/>
      <c r="U19" s="17"/>
      <c r="V19" s="17"/>
      <c r="W19" s="17"/>
      <c r="X19" s="17"/>
      <c r="Y19" s="17"/>
      <c r="Z19" s="17"/>
      <c r="AA19" s="17"/>
    </row>
    <row r="20" spans="1:27" ht="18.45" thickTop="1" thickBot="1">
      <c r="A20" s="17"/>
      <c r="B20" s="22"/>
      <c r="C20" s="17"/>
      <c r="D20" s="17"/>
      <c r="E20" s="23"/>
      <c r="F20" s="17"/>
      <c r="G20" s="17"/>
      <c r="H20" s="17"/>
      <c r="I20" s="17"/>
      <c r="J20" s="17"/>
      <c r="K20" s="108">
        <v>4</v>
      </c>
      <c r="L20" s="109" t="str">
        <f ca="1">IF(OR(TRIM(H6)="-",TRIM(H7)="-"), IF(TRIM(H6)="-",H6,H7),IF(AND(I6="",I7="")," ",IF(N(I7)=N(I6)," ",IF(N(I7)&gt;N(I6),H6,H7))))</f>
        <v>4 CdP Loděnice - Resl Jan</v>
      </c>
      <c r="M20" s="155">
        <f ca="1">VLOOKUP(K20,Postupy!$A$3:$AN$6,40,0)</f>
        <v>11</v>
      </c>
      <c r="N20" s="195"/>
      <c r="O20" s="39">
        <v>3</v>
      </c>
      <c r="P20" s="131" t="str">
        <f ca="1">IF(AND(M20="",M21="")," ",IF(N(M20)=N(M21)," ",IF(N(M20)&gt;N(M21),L20,L21)))</f>
        <v>26 HAVAJ CB - Koreš st. Jiří</v>
      </c>
      <c r="Q20" s="130">
        <v>3</v>
      </c>
      <c r="R20" s="17"/>
      <c r="S20" s="18"/>
      <c r="T20" s="17"/>
      <c r="U20" s="17"/>
      <c r="V20" s="17"/>
      <c r="W20" s="17"/>
      <c r="X20" s="17"/>
      <c r="Y20" s="17"/>
      <c r="Z20" s="17"/>
      <c r="AA20" s="17"/>
    </row>
    <row r="21" spans="1:27" ht="18.45" thickTop="1" thickBot="1">
      <c r="A21" s="17"/>
      <c r="B21" s="22"/>
      <c r="C21" s="17"/>
      <c r="D21" s="17"/>
      <c r="E21" s="23"/>
      <c r="F21" s="17"/>
      <c r="G21" s="17"/>
      <c r="H21" s="17"/>
      <c r="I21" s="17"/>
      <c r="J21" s="17"/>
      <c r="K21" s="110">
        <v>3</v>
      </c>
      <c r="L21" s="111" t="str">
        <f ca="1">IF(OR(TRIM(H14)="-",TRIM(H15)="-"), IF(TRIM(H14)="-",H14,H15),IF(AND(I14="",I15="")," ",IF(N(I15)=N(I14)," ",IF(N(I15)&gt;N(I14),H14,H15))))</f>
        <v>26 HAVAJ CB - Koreš st. Jiří</v>
      </c>
      <c r="M21" s="156">
        <f ca="1">VLOOKUP(K21,Postupy!$A$3:$AN$6,40,0)</f>
        <v>13</v>
      </c>
      <c r="N21" s="183"/>
      <c r="O21" s="39">
        <v>4</v>
      </c>
      <c r="P21" s="131" t="str">
        <f ca="1">IF(AND(M20="",M21="")," ",IF(N(M21)=N(M20)," ",IF(N(M21)&gt;N(M20),L20,L21)))</f>
        <v>4 CdP Loděnice - Resl Jan</v>
      </c>
      <c r="Q21" s="130">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4"/>
  <dimension ref="A1:AD32"/>
  <sheetViews>
    <sheetView topLeftCell="B1" workbookViewId="0">
      <pane xSplit="3" ySplit="3" topLeftCell="E4" activePane="bottomRight" state="frozen"/>
      <selection pane="topRight"/>
      <selection pane="bottomLeft"/>
      <selection pane="bottomRight" activeCell="I13" sqref="I13"/>
    </sheetView>
  </sheetViews>
  <sheetFormatPr defaultRowHeight="12"/>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5" customHeight="1" thickBot="1">
      <c r="A2" s="70"/>
      <c r="B2" s="22"/>
      <c r="C2" s="70"/>
      <c r="D2" s="158" t="s">
        <v>125</v>
      </c>
      <c r="E2" s="16"/>
      <c r="F2" s="17"/>
      <c r="G2" s="17"/>
      <c r="H2" s="29"/>
      <c r="I2" s="17"/>
      <c r="J2" s="17"/>
      <c r="K2" s="17"/>
      <c r="L2" s="17"/>
      <c r="M2" s="17"/>
      <c r="N2" s="17"/>
      <c r="O2" s="17"/>
      <c r="P2" s="17"/>
      <c r="Q2" s="17"/>
      <c r="R2" s="17"/>
      <c r="S2" s="17"/>
      <c r="T2" s="17"/>
      <c r="U2" s="17"/>
      <c r="V2" s="16"/>
      <c r="W2" s="17"/>
      <c r="X2" s="17"/>
      <c r="Y2" s="17"/>
      <c r="Z2" s="16"/>
      <c r="AA2" s="17"/>
    </row>
    <row r="3" spans="1:30" ht="28.95" customHeight="1" thickBot="1">
      <c r="A3" s="17"/>
      <c r="B3" s="33"/>
      <c r="C3" s="81"/>
      <c r="D3" s="371" t="s">
        <v>447</v>
      </c>
      <c r="E3" s="374" t="str">
        <f ca="1">IF(OR(TRIM(D4)="-",TRIM(D5)="-"),"",VLOOKUP(MIN(C4,C5),Hřiště!$B$11:$E$42,4,0))</f>
        <v/>
      </c>
      <c r="F3" s="80"/>
      <c r="G3" s="81"/>
      <c r="H3" s="86"/>
      <c r="I3" s="82"/>
      <c r="J3" s="80"/>
      <c r="K3" s="80"/>
      <c r="L3" s="86"/>
      <c r="M3" s="82"/>
      <c r="N3" s="80"/>
      <c r="O3" s="80"/>
      <c r="P3" s="86"/>
      <c r="Q3" s="82"/>
      <c r="R3" s="17"/>
      <c r="S3" s="17"/>
      <c r="T3" s="17"/>
      <c r="U3" s="17"/>
      <c r="V3" s="16"/>
      <c r="W3" s="17"/>
      <c r="X3" s="17"/>
      <c r="Y3" s="17"/>
      <c r="Z3" s="16"/>
      <c r="AA3" s="17"/>
    </row>
    <row r="4" spans="1:30" ht="18" thickBot="1">
      <c r="A4" s="116" t="str">
        <f ca="1">VLOOKUP(C4,Postupy!$A$3:$C$34,3,0)</f>
        <v>H1</v>
      </c>
      <c r="B4" s="94"/>
      <c r="C4" s="108">
        <v>8</v>
      </c>
      <c r="D4" s="333" t="str">
        <f ca="1">IF(OR(TRIM('KO8'!D4)="-",TRIM('KO8'!D5)="-"), IF(TRIM('KO8'!D4)="-",'KO8'!D4,'KO8'!D5),IF(AND('KO8'!E4="",'KO8'!E5="")," ",IF(N('KO8'!E4)=N('KO8'!E5)," ",IF(N('KO8'!E4)&gt;N('KO8'!E5),'KO8'!D5,'KO8'!D4))))</f>
        <v>7 HRODE KRUMSÍN - Motl Bohuslav</v>
      </c>
      <c r="E4" s="155">
        <v>1</v>
      </c>
      <c r="F4" s="20"/>
      <c r="G4" s="17"/>
      <c r="H4" s="38"/>
      <c r="I4" s="23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VLOOKUP(C5,Postupy!$A$3:$C$34,3,0)</f>
        <v>E1</v>
      </c>
      <c r="B5" s="95"/>
      <c r="C5" s="110">
        <v>5</v>
      </c>
      <c r="D5" s="334" t="str">
        <f ca="1">IF(OR(TRIM('KO8'!D8)="-",TRIM('KO8'!D9)="-"), IF(TRIM('KO8'!D8)="-",'KO8'!D8,'KO8'!D9),IF(AND('KO8'!E8="",'KO8'!E9="")," ",IF(N('KO8'!E8)=N('KO8'!E9)," ",IF(N('KO8'!E8)&gt;N('KO8'!E9),'KO8'!D9,'KO8'!D8))))</f>
        <v>5 TOP - ORLOVÁ - Bačo David</v>
      </c>
      <c r="E5" s="156"/>
      <c r="F5" s="21"/>
      <c r="G5" s="26"/>
      <c r="H5" s="335" t="s">
        <v>356</v>
      </c>
      <c r="I5" s="374"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45" thickTop="1" thickBot="1">
      <c r="A6" s="107"/>
      <c r="B6" s="22"/>
      <c r="C6" s="17"/>
      <c r="D6" s="66"/>
      <c r="E6" s="237"/>
      <c r="F6" s="17"/>
      <c r="G6" s="108">
        <v>5</v>
      </c>
      <c r="H6" s="109" t="str">
        <f ca="1">IF(OR(TRIM(D4)="-",TRIM(D5)="-"), IF(TRIM(D4)="-",D5,D4),IF(AND(E4="",E5="")," ",IF(N(E4)=N(E5)," ",IF(N(E4)&gt;N(E5),D4,D5))))</f>
        <v>7 HRODE KRUMSÍN - Motl Bohuslav</v>
      </c>
      <c r="I6" s="155">
        <v>4</v>
      </c>
      <c r="J6" s="27"/>
      <c r="K6" s="40">
        <v>5</v>
      </c>
      <c r="L6" s="133" t="str">
        <f ca="1">IF(AND(I6="",I7="")," ",IF(N(I6)=N(I7)," ",IF(N(I6)&gt;N(I7),H6,H7)))</f>
        <v>17 SK Sahara Vědomice - Demčíková Jiřina</v>
      </c>
      <c r="M6" s="40">
        <v>5</v>
      </c>
      <c r="N6" s="17"/>
      <c r="O6" s="17"/>
      <c r="P6" s="18"/>
      <c r="Q6" s="17"/>
      <c r="R6" s="17"/>
      <c r="S6" s="17"/>
      <c r="T6" s="17"/>
      <c r="U6" s="17"/>
      <c r="V6" s="16"/>
      <c r="W6" s="17"/>
      <c r="X6" s="17"/>
      <c r="Y6" s="17"/>
      <c r="Z6" s="16"/>
      <c r="AA6" s="17"/>
      <c r="AB6" s="17"/>
      <c r="AC6" s="17"/>
      <c r="AD6" s="18"/>
    </row>
    <row r="7" spans="1:30" ht="18.899999999999999" thickTop="1" thickBot="1">
      <c r="A7" s="104"/>
      <c r="B7" s="33"/>
      <c r="C7" s="17"/>
      <c r="D7" s="371" t="s">
        <v>447</v>
      </c>
      <c r="E7" s="374" t="str">
        <f ca="1">IF(OR(TRIM(D8)="-",TRIM(D9)="-"),"",VLOOKUP(MIN(C8,C9),Hřiště!$B$11:$E$42,4,0))</f>
        <v/>
      </c>
      <c r="F7" s="17"/>
      <c r="G7" s="110">
        <v>6</v>
      </c>
      <c r="H7" s="111" t="str">
        <f ca="1">IF(OR(TRIM(D8)="-",TRIM(D9)="-"), IF(TRIM(D8)="-",D9,D8),IF(AND(E8="",E9="")," ",IF(N(E8)=N(E9)," ",IF(N(E8)&gt;N(E9),D8,D9))))</f>
        <v>17 SK Sahara Vědomice - Demčíková Jiřina</v>
      </c>
      <c r="I7" s="156">
        <v>13</v>
      </c>
      <c r="J7" s="21"/>
      <c r="K7" s="336">
        <v>6</v>
      </c>
      <c r="L7" s="131" t="str">
        <f ca="1">IF(AND(I6="",I7="")," ",IF(N(I7)=N(I6)," ",IF(N(I7)&gt;N(I6),H6,H7)))</f>
        <v>7 HRODE KRUMSÍN - Motl Bohuslav</v>
      </c>
      <c r="M7" s="130">
        <v>6</v>
      </c>
      <c r="N7" s="17"/>
      <c r="O7" s="17"/>
      <c r="P7" s="17"/>
      <c r="Q7" s="17"/>
      <c r="R7" s="17"/>
      <c r="S7" s="17"/>
      <c r="T7" s="17"/>
      <c r="U7" s="17"/>
      <c r="V7" s="16"/>
      <c r="W7" s="17"/>
      <c r="X7" s="17"/>
      <c r="Y7" s="17"/>
      <c r="Z7" s="16"/>
      <c r="AA7" s="17"/>
      <c r="AB7" s="17"/>
      <c r="AC7" s="17"/>
      <c r="AD7" s="17"/>
    </row>
    <row r="8" spans="1:30" ht="18" thickBot="1">
      <c r="A8" s="116" t="e">
        <f ca="1">VLOOKUP(C50,Postupy!$A$3:$C$34,3,0)</f>
        <v>#N/A</v>
      </c>
      <c r="B8" s="94"/>
      <c r="C8" s="108">
        <v>6</v>
      </c>
      <c r="D8" s="333" t="str">
        <f ca="1">IF(OR(TRIM('KO8'!D12)="-",TRIM('KO8'!D13)="-"), IF(TRIM('KO8'!D12)="-",'KO8'!D12,'KO8'!D13),IF(AND('KO8'!E12="",'KO8'!E13="")," ",IF(N('KO8'!E12)=N('KO8'!E13)," ",IF(N('KO8'!E12)&gt;N('KO8'!E13),'KO8'!D13,'KO8'!D12))))</f>
        <v>21 Carreau Brno - Ferlay Franck</v>
      </c>
      <c r="E8" s="155">
        <v>6</v>
      </c>
      <c r="F8" s="27"/>
      <c r="G8" s="26"/>
      <c r="H8" s="66"/>
      <c r="I8" s="238"/>
      <c r="J8" s="17"/>
      <c r="K8" s="17"/>
      <c r="L8" s="85"/>
      <c r="M8" s="19"/>
      <c r="N8" s="18"/>
      <c r="O8" s="17"/>
      <c r="P8" s="18"/>
      <c r="Q8" s="17"/>
      <c r="R8" s="17"/>
      <c r="S8" s="17"/>
      <c r="T8" s="17"/>
      <c r="U8" s="17"/>
      <c r="V8" s="16"/>
      <c r="W8" s="17"/>
      <c r="X8" s="17"/>
      <c r="Y8" s="17"/>
      <c r="Z8" s="16"/>
      <c r="AA8" s="17"/>
      <c r="AB8" s="17"/>
      <c r="AC8" s="17"/>
      <c r="AD8" s="17"/>
    </row>
    <row r="9" spans="1:30" ht="18.45" thickTop="1" thickBot="1">
      <c r="A9" s="116" t="e">
        <f ca="1">VLOOKUP(C51,Postupy!$A$3:$C$34,3,0)</f>
        <v>#N/A</v>
      </c>
      <c r="B9" s="33"/>
      <c r="C9" s="110">
        <v>7</v>
      </c>
      <c r="D9" s="334" t="str">
        <f ca="1">IF(OR(TRIM('KO8'!D16)="-",TRIM('KO8'!D17)="-"),IF(TRIM('KO8'!D16)="-",'KO8'!D16,'KO8'!D17),IF(AND('KO8'!E16="",'KO8'!E17="")," ",IF(N('KO8'!E16)=N('KO8'!E17)," ",IF(N('KO8'!E16)&gt;N('KO8'!E17),'KO8'!D17,'KO8'!D16))))</f>
        <v>17 SK Sahara Vědomice - Demčíková Jiřina</v>
      </c>
      <c r="E9" s="156">
        <v>13</v>
      </c>
      <c r="F9" s="28"/>
      <c r="G9" s="17"/>
      <c r="H9" s="66"/>
      <c r="I9" s="237"/>
      <c r="J9" s="65"/>
      <c r="K9" s="65"/>
      <c r="L9" s="65"/>
      <c r="M9" s="65"/>
      <c r="N9" s="65"/>
      <c r="O9" s="65"/>
      <c r="P9" s="65"/>
      <c r="Q9" s="65"/>
      <c r="R9" s="17"/>
      <c r="S9" s="17"/>
      <c r="T9" s="18"/>
      <c r="U9" s="17"/>
      <c r="V9" s="17"/>
      <c r="W9" s="17"/>
      <c r="X9" s="17"/>
      <c r="Y9" s="17"/>
      <c r="Z9" s="17"/>
      <c r="AA9" s="17"/>
      <c r="AB9" s="17"/>
    </row>
    <row r="10" spans="1:30" ht="13.75" thickBot="1">
      <c r="A10" s="17"/>
      <c r="B10" s="84"/>
      <c r="C10" s="85"/>
      <c r="D10" s="65"/>
      <c r="E10" s="237"/>
      <c r="F10" s="17"/>
      <c r="G10" s="17"/>
      <c r="H10" s="67"/>
      <c r="I10" s="239"/>
      <c r="J10" s="68"/>
      <c r="K10" s="68"/>
      <c r="L10" s="68"/>
      <c r="M10" s="68"/>
      <c r="N10" s="68"/>
      <c r="O10" s="68"/>
      <c r="P10" s="68"/>
      <c r="Q10" s="68"/>
      <c r="R10" s="17"/>
      <c r="S10" s="18"/>
      <c r="T10" s="17"/>
      <c r="U10" s="17"/>
      <c r="V10" s="17"/>
      <c r="W10" s="17"/>
      <c r="X10" s="17"/>
      <c r="Y10" s="17"/>
      <c r="Z10" s="17"/>
      <c r="AA10" s="17"/>
    </row>
    <row r="11" spans="1:30" ht="14.15" thickBot="1">
      <c r="A11" s="17"/>
      <c r="B11" s="22"/>
      <c r="C11" s="17"/>
      <c r="D11" s="66"/>
      <c r="E11" s="237"/>
      <c r="F11" s="17"/>
      <c r="G11" s="17"/>
      <c r="H11" s="335" t="s">
        <v>357</v>
      </c>
      <c r="I11" s="374"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8.45" thickTop="1" thickBot="1">
      <c r="A12" s="17"/>
      <c r="B12" s="33"/>
      <c r="C12" s="29"/>
      <c r="D12" s="87"/>
      <c r="E12" s="237"/>
      <c r="F12" s="17"/>
      <c r="G12" s="108">
        <v>7</v>
      </c>
      <c r="H12" s="109" t="str">
        <f ca="1">IF(OR(TRIM(D4)="-",TRIM(D5)="-"), IF(TRIM(D4)="-",D5,D4),IF(AND(E4="",E5="")," ",IF(N(E4)=N(E5)," ",IF(N(E5)&gt;N(E4),D4,D5))))</f>
        <v>5 TOP - ORLOVÁ - Bačo David</v>
      </c>
      <c r="I12" s="155">
        <v>1</v>
      </c>
      <c r="J12" s="195"/>
      <c r="K12" s="130">
        <v>7</v>
      </c>
      <c r="L12" s="131" t="str">
        <f ca="1">IF(AND(I12="",I13="")," ",IF(N(I12)=N(I13)," ",IF(N(I12)&gt;N(I13),H12,H13)))</f>
        <v>5 TOP - ORLOVÁ - Bačo David</v>
      </c>
      <c r="M12" s="130">
        <v>7</v>
      </c>
      <c r="N12" s="17"/>
      <c r="O12" s="17"/>
      <c r="P12" s="18"/>
      <c r="Q12" s="69"/>
      <c r="R12" s="69"/>
      <c r="S12" s="69"/>
      <c r="T12" s="69"/>
      <c r="U12" s="69"/>
      <c r="V12" s="17"/>
      <c r="W12" s="17"/>
      <c r="X12" s="17"/>
      <c r="Y12" s="17"/>
      <c r="Z12" s="17"/>
      <c r="AA12" s="17"/>
    </row>
    <row r="13" spans="1:30" ht="18.45" thickTop="1" thickBot="1">
      <c r="A13" s="17"/>
      <c r="B13" s="84"/>
      <c r="C13" s="90"/>
      <c r="D13" s="91"/>
      <c r="E13" s="233"/>
      <c r="F13" s="17"/>
      <c r="G13" s="110">
        <v>8</v>
      </c>
      <c r="H13" s="111" t="str">
        <f ca="1">IF(OR(TRIM(D8)="-",TRIM(D9)="-"), IF(TRIM(D8)="-",D9,D8),IF(AND(E8="",E9="")," ",IF(N(E8)=N(E9)," ",IF(N(E9)&gt;N(E8),D8,D9))))</f>
        <v>21 Carreau Brno - Ferlay Franck</v>
      </c>
      <c r="I13" s="156"/>
      <c r="J13" s="183"/>
      <c r="K13" s="336">
        <v>8</v>
      </c>
      <c r="L13" s="131" t="str">
        <f ca="1">IF(AND(I12="",I13="")," ",IF(N(I13)=N(I12)," ",IF(N(I13)&gt;N(I12),H12,H13)))</f>
        <v>21 Carreau Brno - Ferlay Franck</v>
      </c>
      <c r="M13" s="130">
        <v>8</v>
      </c>
      <c r="N13" s="17"/>
      <c r="O13" s="17"/>
      <c r="P13" s="18"/>
      <c r="Q13" s="17"/>
      <c r="R13" s="17"/>
      <c r="S13" s="18"/>
      <c r="T13" s="17"/>
      <c r="U13" s="17"/>
      <c r="V13" s="17"/>
      <c r="W13" s="17"/>
      <c r="X13" s="17"/>
      <c r="Y13" s="17"/>
      <c r="Z13" s="17"/>
      <c r="AA13" s="17"/>
    </row>
    <row r="14" spans="1:30" ht="12.45" thickTop="1">
      <c r="A14" s="17"/>
      <c r="B14" s="84"/>
      <c r="C14" s="88"/>
      <c r="D14" s="89"/>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3">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2"/>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2"/>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3">
      <c r="A20" s="17"/>
      <c r="B20" s="93"/>
      <c r="C20" s="29"/>
      <c r="D20" s="87"/>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3">
      <c r="A21" s="17"/>
      <c r="B21" s="93"/>
      <c r="C21" s="29"/>
      <c r="D21" s="87"/>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3">
      <c r="A22" s="17"/>
      <c r="B22" s="93"/>
      <c r="C22" s="29"/>
      <c r="D22" s="87"/>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3">
      <c r="A23" s="17"/>
      <c r="B23" s="93"/>
      <c r="C23" s="29"/>
      <c r="D23" s="87"/>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3">
      <c r="A24" s="17"/>
      <c r="B24" s="93"/>
      <c r="C24" s="29"/>
      <c r="D24" s="87"/>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3">
      <c r="A25" s="17"/>
      <c r="B25" s="93"/>
      <c r="C25" s="29"/>
      <c r="D25" s="87"/>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3">
      <c r="A26" s="17"/>
      <c r="B26" s="93"/>
      <c r="C26" s="29"/>
      <c r="D26" s="87"/>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3">
      <c r="A27" s="17"/>
      <c r="B27" s="93"/>
      <c r="C27" s="29"/>
      <c r="D27" s="87"/>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3">
      <c r="A28" s="17"/>
      <c r="B28" s="93"/>
      <c r="C28" s="29"/>
      <c r="D28" s="87"/>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3">
      <c r="A29" s="17"/>
      <c r="B29" s="93"/>
      <c r="C29" s="29"/>
      <c r="D29" s="87"/>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3">
      <c r="A30" s="17"/>
      <c r="B30" s="93"/>
      <c r="C30" s="29"/>
      <c r="D30" s="87"/>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3">
      <c r="A31" s="17"/>
      <c r="B31" s="93"/>
      <c r="C31" s="29"/>
      <c r="D31" s="87"/>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3">
      <c r="A32" s="17"/>
      <c r="B32" s="93"/>
      <c r="C32" s="29"/>
      <c r="D32" s="87"/>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50000000000003" customHeight="1">
      <c r="A2" s="71"/>
      <c r="B2" s="71" t="s">
        <v>49</v>
      </c>
      <c r="C2" s="73"/>
      <c r="D2" s="71"/>
      <c r="E2" s="71"/>
    </row>
    <row r="3" spans="1:20" ht="18.45">
      <c r="A3" s="71">
        <v>1</v>
      </c>
      <c r="B3" s="43" t="str">
        <f ca="1">IF(TYPE(VLOOKUP(CONCATENATE($C$1,A3),Skupiny!$A$3:$B$130,2,0))&gt;4," - ",VLOOKUP(CONCATENATE($C$1,A3),Skupiny!$A$3:$B$130,2,0))</f>
        <v>1 Carreau Brno - Michálek Tomáš</v>
      </c>
      <c r="C3" s="71"/>
      <c r="D3" s="71"/>
      <c r="E3" s="71"/>
    </row>
    <row r="4" spans="1:20" ht="18.45">
      <c r="A4" s="71">
        <v>2</v>
      </c>
      <c r="B4" s="43" t="str">
        <f ca="1">IF(TYPE(VLOOKUP(CONCATENATE($C$1,A4),Skupiny!$A$3:$B$130,2,0))&gt;4," - ",VLOOKUP(CONCATENATE($C$1,A4),Skupiny!$A$3:$B$130,2,0))</f>
        <v>32 Petank Club Praha - Maňák Jan</v>
      </c>
      <c r="C4" s="71"/>
      <c r="D4" s="71"/>
      <c r="E4" s="71"/>
    </row>
    <row r="5" spans="1:20" ht="18.45">
      <c r="A5" s="71">
        <v>3</v>
      </c>
      <c r="B5" s="43" t="str">
        <f ca="1">IF(TYPE(VLOOKUP(CONCATENATE($C$1,A5),Skupiny!$A$3:$B$130,2,0))&gt;4," - ",VLOOKUP(CONCATENATE($C$1,A5),Skupiny!$A$3:$B$130,2,0))</f>
        <v>33 HRODE KRUMSÍN - Ptáčková Eliška</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1 Carreau Brno - Michálek Tomáš</v>
      </c>
      <c r="C8" s="75">
        <f>IF(('Hra 2P'!E8=""),"",'Hra 2P'!E8)</f>
        <v>1</v>
      </c>
      <c r="D8" s="75">
        <f>IF(('Hra 2P'!F8=""),"",'Hra 2P'!F8)</f>
        <v>0</v>
      </c>
      <c r="E8" s="43" t="str">
        <f ca="1">B6</f>
        <v xml:space="preserve"> - </v>
      </c>
    </row>
    <row r="9" spans="1:20" ht="18.45">
      <c r="A9" s="71"/>
      <c r="B9" s="43" t="str">
        <f ca="1">B4</f>
        <v>32 Petank Club Praha - Maňák Jan</v>
      </c>
      <c r="C9" s="75">
        <f>IF(('Hra 2P'!E9=""),"",'Hra 2P'!E9)</f>
        <v>13</v>
      </c>
      <c r="D9" s="75">
        <f>IF(('Hra 2P'!F9=""),"",'Hra 2P'!F9)</f>
        <v>8</v>
      </c>
      <c r="E9" s="43" t="str">
        <f ca="1">B5</f>
        <v>33 HRODE KRUMSÍN - Ptáčková Eliška</v>
      </c>
    </row>
    <row r="10" spans="1:20" ht="18.45">
      <c r="A10" s="76" t="s">
        <v>46</v>
      </c>
      <c r="B10" s="43" t="str">
        <f ca="1">IF(TRIM(E8)="-",B8,IF(AND(C8="",D8="")," ",IF(N(C8)&gt;N(D8),B8,E8)))</f>
        <v>1 Carreau Brno - Michálek Tomáš</v>
      </c>
      <c r="C10" s="75">
        <f>IF(('Hra 2P'!E10=""),"",'Hra 2P'!E10)</f>
        <v>13</v>
      </c>
      <c r="D10" s="75">
        <f>IF(('Hra 2P'!F10=""),"",'Hra 2P'!F10)</f>
        <v>1</v>
      </c>
      <c r="E10" s="43" t="str">
        <f ca="1">IF(AND(C9="",D9="")," ",IF(N(C9)&gt;N(D9),B9,E9))</f>
        <v>32 Petank Club Praha - Maňák Jan</v>
      </c>
    </row>
    <row r="11" spans="1:20" ht="18.45">
      <c r="A11" s="76" t="s">
        <v>47</v>
      </c>
      <c r="B11" s="43" t="str">
        <f ca="1">IF(TRIM(E8)="-",E8,IF(AND(C8="",D8="")," ",IF(N(C8)&gt;N(D8),E8,B8)))</f>
        <v xml:space="preserve"> - </v>
      </c>
      <c r="C11" s="75">
        <f>IF(('Hra 2P'!E11=""),"",'Hra 2P'!E11)</f>
        <v>0</v>
      </c>
      <c r="D11" s="75">
        <f>IF(('Hra 2P'!F11=""),"",'Hra 2P'!F11)</f>
        <v>1</v>
      </c>
      <c r="E11" s="43" t="str">
        <f ca="1">IF(TRIM(E9)="",E9,IF(AND(C9="",D9="")," ",IF(N(C9)&gt;N(D9),E9,B9)))</f>
        <v>33 HRODE KRUMSÍN - Ptáčková Eliška</v>
      </c>
    </row>
    <row r="12" spans="1:20" ht="18.45">
      <c r="A12" s="76" t="s">
        <v>48</v>
      </c>
      <c r="B12" s="43" t="str">
        <f ca="1">IF(TRIM(E10)="",E10,IF(AND(C10="",D10="")," ",IF(N(C10)&gt;N(D10),E10,B10)))</f>
        <v>32 Petank Club Praha - Maňák Jan</v>
      </c>
      <c r="C12" s="75">
        <f>IF(('Hra 2P'!E12=""),"",'Hra 2P'!E12)</f>
        <v>4</v>
      </c>
      <c r="D12" s="75">
        <f>IF(('Hra 2P'!F12=""),"",'Hra 2P'!F12)</f>
        <v>13</v>
      </c>
      <c r="E12" s="43" t="str">
        <f ca="1">IF(AND(TRIM(B11)="",TRIM(E8)=""),E11,IF(AND(C11="",D11="")," ",IF(N(C11)&gt;N(D11),B11,E11)))</f>
        <v>33 HRODE KRUMSÍN - Ptáčková Eliška</v>
      </c>
    </row>
    <row r="13" spans="1:20" ht="37.200000000000003" customHeight="1">
      <c r="A13" s="71"/>
      <c r="B13" s="77" t="s">
        <v>52</v>
      </c>
      <c r="C13" s="78" t="s">
        <v>116</v>
      </c>
      <c r="D13" s="71"/>
      <c r="E13" s="71"/>
    </row>
    <row r="14" spans="1:20" ht="18.45">
      <c r="A14" s="71" t="s">
        <v>31</v>
      </c>
      <c r="B14" s="43" t="str">
        <f ca="1">IF(N(C10)+N(D10)&gt;0,IF(N(C10)&gt;N(D10),B10,E10),"")</f>
        <v>1 Carreau Brno - Michálek Tomáš</v>
      </c>
      <c r="C14" s="74" t="str">
        <f>CONCATENATE($C$1,A3)</f>
        <v>A1</v>
      </c>
      <c r="D14" s="71"/>
      <c r="E14" s="71"/>
    </row>
    <row r="15" spans="1:20" ht="18.45">
      <c r="A15" s="71" t="s">
        <v>32</v>
      </c>
      <c r="B15" s="43" t="str">
        <f ca="1">IF(N(C12)+N(D12)&gt;0,IF(N(C12)&gt;N(D12),B12,E12),"")</f>
        <v>33 HRODE KRUMSÍN - Ptáčková Eliška</v>
      </c>
      <c r="C15" s="74" t="str">
        <f>CONCATENATE($C$1,A4)</f>
        <v>A2</v>
      </c>
      <c r="D15" s="71"/>
      <c r="E15" s="71"/>
    </row>
    <row r="16" spans="1:20" ht="18.45">
      <c r="A16" s="71" t="s">
        <v>33</v>
      </c>
      <c r="B16" s="43" t="str">
        <f ca="1">IF(N(C12)+N(D12)&gt;0,IF(N(C12)&gt;N(D12),E12,B12),"")</f>
        <v>32 Petank Club Praha - Maňák Jan</v>
      </c>
      <c r="C16" s="74" t="str">
        <f>CONCATENATE($C$1,A5)</f>
        <v>A3</v>
      </c>
      <c r="D16" s="71"/>
      <c r="E16" s="71"/>
    </row>
    <row r="17" spans="1:5" ht="18.45">
      <c r="A17" s="71" t="s">
        <v>34</v>
      </c>
      <c r="B17" s="79" t="str">
        <f ca="1">IF(N(C11)+N(D11)&gt;0,IF(N(C11)&gt;N(D11),E11,B11),"")</f>
        <v xml:space="preserve"> - </v>
      </c>
      <c r="C17" s="74" t="str">
        <f>CONCATENATE($C$1,A6)</f>
        <v>A4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1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50000000000003" customHeight="1">
      <c r="A2" s="71"/>
      <c r="B2" s="71" t="s">
        <v>49</v>
      </c>
      <c r="C2" s="73"/>
      <c r="D2" s="71"/>
      <c r="E2" s="71"/>
    </row>
    <row r="3" spans="1:20" ht="18.45">
      <c r="A3" s="71">
        <v>1</v>
      </c>
      <c r="B3" s="43" t="str">
        <f ca="1">IF(TYPE(VLOOKUP(CONCATENATE($C$1,A3),Skupiny!$A$3:$B$130,2,0))&gt;4," - ",VLOOKUP(CONCATENATE($C$1,A3),Skupiny!$A$3:$B$130,2,0))</f>
        <v>2 PC Sokol Lipník - Froňková Kateřina</v>
      </c>
      <c r="C3" s="71"/>
      <c r="D3" s="71"/>
      <c r="E3" s="71"/>
    </row>
    <row r="4" spans="1:20" ht="18.45">
      <c r="A4" s="71">
        <v>2</v>
      </c>
      <c r="B4" s="43" t="str">
        <f ca="1">IF(TYPE(VLOOKUP(CONCATENATE($C$1,A4),Skupiny!$A$3:$B$130,2,0))&gt;4," - ",VLOOKUP(CONCATENATE($C$1,A4),Skupiny!$A$3:$B$130,2,0))</f>
        <v>31 PC Mimo Done - Šídlová Lucie</v>
      </c>
      <c r="C4" s="71"/>
      <c r="D4" s="71"/>
      <c r="E4" s="71"/>
    </row>
    <row r="5" spans="1:20" ht="18.45">
      <c r="A5" s="71">
        <v>3</v>
      </c>
      <c r="B5" s="43" t="str">
        <f ca="1">IF(TYPE(VLOOKUP(CONCATENATE($C$1,A5),Skupiny!$A$3:$B$130,2,0))&gt;4," - ",VLOOKUP(CONCATENATE($C$1,A5),Skupiny!$A$3:$B$130,2,0))</f>
        <v>34 CdP Loděnice - Jirkovský Tomáš</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2 PC Sokol Lipník - Froňková Kateřina</v>
      </c>
      <c r="C8" s="75">
        <f>IF(('Hra 2P'!E14=""),"",'Hra 2P'!E14)</f>
        <v>1</v>
      </c>
      <c r="D8" s="75">
        <f>IF(('Hra 2P'!F14=""),"",'Hra 2P'!F14)</f>
        <v>0</v>
      </c>
      <c r="E8" s="43" t="str">
        <f ca="1">B6</f>
        <v xml:space="preserve"> - </v>
      </c>
    </row>
    <row r="9" spans="1:20" ht="18.45">
      <c r="A9" s="71"/>
      <c r="B9" s="43" t="str">
        <f ca="1">B4</f>
        <v>31 PC Mimo Done - Šídlová Lucie</v>
      </c>
      <c r="C9" s="75">
        <f>IF(('Hra 2P'!E15=""),"",'Hra 2P'!E15)</f>
        <v>12</v>
      </c>
      <c r="D9" s="75">
        <f>IF(('Hra 2P'!F15=""),"",'Hra 2P'!F15)</f>
        <v>13</v>
      </c>
      <c r="E9" s="43" t="str">
        <f ca="1">B5</f>
        <v>34 CdP Loděnice - Jirkovský Tomáš</v>
      </c>
    </row>
    <row r="10" spans="1:20" ht="18.45">
      <c r="A10" s="76" t="s">
        <v>46</v>
      </c>
      <c r="B10" s="43" t="str">
        <f ca="1">IF(TRIM(E8)="-",B8,IF(AND(C8="",D8="")," ",IF(N(C8)&gt;N(D8),B8,E8)))</f>
        <v>2 PC Sokol Lipník - Froňková Kateřina</v>
      </c>
      <c r="C10" s="75">
        <f>IF(('Hra 2P'!E16=""),"",'Hra 2P'!E16)</f>
        <v>13</v>
      </c>
      <c r="D10" s="75">
        <f>IF(('Hra 2P'!F16=""),"",'Hra 2P'!F16)</f>
        <v>6</v>
      </c>
      <c r="E10" s="43" t="str">
        <f ca="1">IF(AND(C9="",D9="")," ",IF(N(C9)&gt;N(D9),B9,E9))</f>
        <v>34 CdP Loděnice - Jirkovský Tomáš</v>
      </c>
    </row>
    <row r="11" spans="1:20" ht="18.45">
      <c r="A11" s="76" t="s">
        <v>47</v>
      </c>
      <c r="B11" s="43" t="str">
        <f ca="1">IF(TRIM(E8)="-",E8,IF(AND(C8="",D8="")," ",IF(N(C8)&gt;N(D8),E8,B8)))</f>
        <v xml:space="preserve"> - </v>
      </c>
      <c r="C11" s="75">
        <f>IF(('Hra 2P'!E17=""),"",'Hra 2P'!E17)</f>
        <v>0</v>
      </c>
      <c r="D11" s="75">
        <f>IF(('Hra 2P'!F17=""),"",'Hra 2P'!F17)</f>
        <v>1</v>
      </c>
      <c r="E11" s="43" t="str">
        <f ca="1">IF(TRIM(E9)="",E9,IF(AND(C9="",D9="")," ",IF(N(C9)&gt;N(D9),E9,B9)))</f>
        <v>31 PC Mimo Done - Šídlová Lucie</v>
      </c>
    </row>
    <row r="12" spans="1:20" ht="18.45">
      <c r="A12" s="76" t="s">
        <v>48</v>
      </c>
      <c r="B12" s="43" t="str">
        <f ca="1">IF(TRIM(E10)="",E10,IF(AND(C10="",D10="")," ",IF(N(C10)&gt;N(D10),E10,B10)))</f>
        <v>34 CdP Loděnice - Jirkovský Tomáš</v>
      </c>
      <c r="C12" s="75">
        <f>IF(('Hra 2P'!E18=""),"",'Hra 2P'!E18)</f>
        <v>9</v>
      </c>
      <c r="D12" s="75">
        <f>IF(('Hra 2P'!F18=""),"",'Hra 2P'!F18)</f>
        <v>13</v>
      </c>
      <c r="E12" s="43" t="str">
        <f ca="1">IF(AND(TRIM(B11)="",TRIM(E8)=""),E11,IF(AND(C11="",D11="")," ",IF(N(C11)&gt;N(D11),B11,E11)))</f>
        <v>31 PC Mimo Done - Šídlová Lucie</v>
      </c>
    </row>
    <row r="13" spans="1:20" ht="37.200000000000003" customHeight="1">
      <c r="A13" s="71"/>
      <c r="B13" s="77" t="s">
        <v>52</v>
      </c>
      <c r="C13" s="78" t="s">
        <v>116</v>
      </c>
      <c r="D13" s="71"/>
      <c r="E13" s="71"/>
    </row>
    <row r="14" spans="1:20" ht="18.45">
      <c r="A14" s="71" t="s">
        <v>31</v>
      </c>
      <c r="B14" s="43" t="str">
        <f ca="1">IF(N(C10)+N(D10)&gt;0,IF(N(C10)&gt;N(D10),B10,E10),"")</f>
        <v>2 PC Sokol Lipník - Froňková Kateřina</v>
      </c>
      <c r="C14" s="74" t="str">
        <f>CONCATENATE($C$1,A3)</f>
        <v>B1</v>
      </c>
      <c r="D14" s="71"/>
      <c r="E14" s="71"/>
    </row>
    <row r="15" spans="1:20" ht="18.45">
      <c r="A15" s="71" t="s">
        <v>32</v>
      </c>
      <c r="B15" s="43" t="str">
        <f ca="1">IF(N(C12)+N(D12)&gt;0,IF(N(C12)&gt;N(D12),B12,E12),"")</f>
        <v>31 PC Mimo Done - Šídlová Lucie</v>
      </c>
      <c r="C15" s="74" t="str">
        <f>CONCATENATE($C$1,A4)</f>
        <v>B2</v>
      </c>
      <c r="D15" s="71"/>
      <c r="E15" s="71"/>
    </row>
    <row r="16" spans="1:20" ht="18.45">
      <c r="A16" s="71" t="s">
        <v>33</v>
      </c>
      <c r="B16" s="43" t="str">
        <f ca="1">IF(N(C12)+N(D12)&gt;0,IF(N(C12)&gt;N(D12),E12,B12),"")</f>
        <v>34 CdP Loděnice - Jirkovský Tomáš</v>
      </c>
      <c r="C16" s="74" t="str">
        <f>CONCATENATE($C$1,A5)</f>
        <v>B3</v>
      </c>
      <c r="D16" s="71"/>
      <c r="E16" s="71"/>
    </row>
    <row r="17" spans="1:5" ht="18.45">
      <c r="A17" s="71" t="s">
        <v>34</v>
      </c>
      <c r="B17" s="79" t="str">
        <f ca="1">IF(N(C11)+N(D11)&gt;0,IF(N(C11)&gt;N(D11),E11,B11),"")</f>
        <v xml:space="preserve"> - </v>
      </c>
      <c r="C17" s="74" t="str">
        <f>CONCATENATE($C$1,A6)</f>
        <v>B4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1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50000000000003" customHeight="1">
      <c r="A2" s="71"/>
      <c r="B2" s="71" t="s">
        <v>49</v>
      </c>
      <c r="C2" s="73"/>
      <c r="D2" s="71"/>
      <c r="E2" s="71"/>
    </row>
    <row r="3" spans="1:20" ht="18.45">
      <c r="A3" s="71">
        <v>1</v>
      </c>
      <c r="B3" s="43" t="str">
        <f ca="1">IF(TYPE(VLOOKUP(CONCATENATE($C$1,A3),Skupiny!$A$3:$B$130,2,0))&gt;4," - ",VLOOKUP(CONCATENATE($C$1,A3),Skupiny!$A$3:$B$130,2,0))</f>
        <v>3 PC Sokol Lipník - Konšel Jakub</v>
      </c>
      <c r="C3" s="71"/>
      <c r="D3" s="71"/>
      <c r="E3" s="71"/>
    </row>
    <row r="4" spans="1:20" ht="18.45">
      <c r="A4" s="71">
        <v>2</v>
      </c>
      <c r="B4" s="43" t="str">
        <f ca="1">IF(TYPE(VLOOKUP(CONCATENATE($C$1,A4),Skupiny!$A$3:$B$130,2,0))&gt;4," - ",VLOOKUP(CONCATENATE($C$1,A4),Skupiny!$A$3:$B$130,2,0))</f>
        <v>30 SKP Kulová osma - Krejčín Leoš</v>
      </c>
      <c r="C4" s="71"/>
      <c r="D4" s="71"/>
      <c r="E4" s="71"/>
    </row>
    <row r="5" spans="1:20" ht="18.45">
      <c r="A5" s="71">
        <v>3</v>
      </c>
      <c r="B5" s="43" t="str">
        <f ca="1">IF(TYPE(VLOOKUP(CONCATENATE($C$1,A5),Skupiny!$A$3:$B$130,2,0))&gt;4," - ",VLOOKUP(CONCATENATE($C$1,A5),Skupiny!$A$3:$B$130,2,0))</f>
        <v>35 PKT Velký Šanc - Horálek Jiří</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3 PC Sokol Lipník - Konšel Jakub</v>
      </c>
      <c r="C8" s="75">
        <f>IF(('Hra 2P'!E20=""),"",'Hra 2P'!E20)</f>
        <v>1</v>
      </c>
      <c r="D8" s="75">
        <f>IF(('Hra 2P'!F20=""),"",'Hra 2P'!F20)</f>
        <v>0</v>
      </c>
      <c r="E8" s="43" t="str">
        <f ca="1">B6</f>
        <v xml:space="preserve"> - </v>
      </c>
    </row>
    <row r="9" spans="1:20" ht="18.45">
      <c r="A9" s="71"/>
      <c r="B9" s="43" t="str">
        <f ca="1">B4</f>
        <v>30 SKP Kulová osma - Krejčín Leoš</v>
      </c>
      <c r="C9" s="75">
        <f>IF(('Hra 2P'!E21=""),"",'Hra 2P'!E21)</f>
        <v>13</v>
      </c>
      <c r="D9" s="75">
        <f>IF(('Hra 2P'!F21=""),"",'Hra 2P'!F21)</f>
        <v>9</v>
      </c>
      <c r="E9" s="43" t="str">
        <f ca="1">B5</f>
        <v>35 PKT Velký Šanc - Horálek Jiří</v>
      </c>
    </row>
    <row r="10" spans="1:20" ht="18.45">
      <c r="A10" s="76" t="s">
        <v>46</v>
      </c>
      <c r="B10" s="43" t="str">
        <f ca="1">IF(TRIM(E8)="-",B8,IF(AND(C8="",D8="")," ",IF(N(C8)&gt;N(D8),B8,E8)))</f>
        <v>3 PC Sokol Lipník - Konšel Jakub</v>
      </c>
      <c r="C10" s="75">
        <f>IF(('Hra 2P'!E22=""),"",'Hra 2P'!E22)</f>
        <v>13</v>
      </c>
      <c r="D10" s="75">
        <f>IF(('Hra 2P'!F22=""),"",'Hra 2P'!F22)</f>
        <v>9</v>
      </c>
      <c r="E10" s="43" t="str">
        <f ca="1">IF(AND(C9="",D9="")," ",IF(N(C9)&gt;N(D9),B9,E9))</f>
        <v>30 SKP Kulová osma - Krejčín Leoš</v>
      </c>
    </row>
    <row r="11" spans="1:20" ht="18.45">
      <c r="A11" s="76" t="s">
        <v>47</v>
      </c>
      <c r="B11" s="43" t="str">
        <f ca="1">IF(TRIM(E8)="-",E8,IF(AND(C8="",D8="")," ",IF(N(C8)&gt;N(D8),E8,B8)))</f>
        <v xml:space="preserve"> - </v>
      </c>
      <c r="C11" s="75">
        <f>IF(('Hra 2P'!E23=""),"",'Hra 2P'!E23)</f>
        <v>0</v>
      </c>
      <c r="D11" s="75">
        <f>IF(('Hra 2P'!F23=""),"",'Hra 2P'!F23)</f>
        <v>1</v>
      </c>
      <c r="E11" s="43" t="str">
        <f ca="1">IF(TRIM(E9)="",E9,IF(AND(C9="",D9="")," ",IF(N(C9)&gt;N(D9),E9,B9)))</f>
        <v>35 PKT Velký Šanc - Horálek Jiří</v>
      </c>
    </row>
    <row r="12" spans="1:20" ht="18.45">
      <c r="A12" s="76" t="s">
        <v>48</v>
      </c>
      <c r="B12" s="43" t="str">
        <f ca="1">IF(TRIM(E10)="",E10,IF(AND(C10="",D10="")," ",IF(N(C10)&gt;N(D10),E10,B10)))</f>
        <v>30 SKP Kulová osma - Krejčín Leoš</v>
      </c>
      <c r="C12" s="75">
        <f>IF(('Hra 2P'!E24=""),"",'Hra 2P'!E24)</f>
        <v>7</v>
      </c>
      <c r="D12" s="75">
        <f>IF(('Hra 2P'!F24=""),"",'Hra 2P'!F24)</f>
        <v>13</v>
      </c>
      <c r="E12" s="43" t="str">
        <f ca="1">IF(AND(TRIM(B11)="",TRIM(E8)=""),E11,IF(AND(C11="",D11="")," ",IF(N(C11)&gt;N(D11),B11,E11)))</f>
        <v>35 PKT Velký Šanc - Horálek Jiří</v>
      </c>
    </row>
    <row r="13" spans="1:20" ht="37.200000000000003" customHeight="1">
      <c r="A13" s="71"/>
      <c r="B13" s="77" t="s">
        <v>52</v>
      </c>
      <c r="C13" s="78" t="s">
        <v>116</v>
      </c>
      <c r="D13" s="71"/>
      <c r="E13" s="71"/>
    </row>
    <row r="14" spans="1:20" ht="18.45">
      <c r="A14" s="71" t="s">
        <v>31</v>
      </c>
      <c r="B14" s="43" t="str">
        <f ca="1">IF(N(C10)+N(D10)&gt;0,IF(N(C10)&gt;N(D10),B10,E10),"")</f>
        <v>3 PC Sokol Lipník - Konšel Jakub</v>
      </c>
      <c r="C14" s="74" t="str">
        <f>CONCATENATE($C$1,A3)</f>
        <v>C1</v>
      </c>
      <c r="D14" s="71"/>
      <c r="E14" s="71"/>
    </row>
    <row r="15" spans="1:20" ht="18.45">
      <c r="A15" s="71" t="s">
        <v>32</v>
      </c>
      <c r="B15" s="43" t="str">
        <f ca="1">IF(N(C12)+N(D12)&gt;0,IF(N(C12)&gt;N(D12),B12,E12),"")</f>
        <v>35 PKT Velký Šanc - Horálek Jiří</v>
      </c>
      <c r="C15" s="74" t="str">
        <f>CONCATENATE($C$1,A4)</f>
        <v>C2</v>
      </c>
      <c r="D15" s="71"/>
      <c r="E15" s="71"/>
    </row>
    <row r="16" spans="1:20" ht="18.45">
      <c r="A16" s="71" t="s">
        <v>33</v>
      </c>
      <c r="B16" s="43" t="str">
        <f ca="1">IF(N(C12)+N(D12)&gt;0,IF(N(C12)&gt;N(D12),E12,B12),"")</f>
        <v>30 SKP Kulová osma - Krejčín Leoš</v>
      </c>
      <c r="C16" s="74" t="str">
        <f>CONCATENATE($C$1,A5)</f>
        <v>C3</v>
      </c>
      <c r="D16" s="71"/>
      <c r="E16" s="71"/>
    </row>
    <row r="17" spans="1:5" ht="18.45">
      <c r="A17" s="71" t="s">
        <v>34</v>
      </c>
      <c r="B17" s="79" t="str">
        <f ca="1">IF(N(C11)+N(D11)&gt;0,IF(N(C11)&gt;N(D11),E11,B11),"")</f>
        <v xml:space="preserve"> - </v>
      </c>
      <c r="C17" s="74" t="str">
        <f>CONCATENATE($C$1,A6)</f>
        <v>C4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1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4</v>
      </c>
      <c r="B1" s="72" t="s">
        <v>113</v>
      </c>
      <c r="C1" s="72" t="s">
        <v>85</v>
      </c>
      <c r="D1" s="73"/>
      <c r="E1" s="71"/>
      <c r="F1">
        <f>VLOOKUP(A1,'Hra 2P'!I8:J198,2,0)</f>
        <v>26</v>
      </c>
      <c r="L1">
        <f ca="1">IF(TRIM(B3)="-",0,1) + IF(TRIM(B4)="-",0,1) + IF(TRIM(B5)="-",0,1) + IF(TRIM(B6)="-",0,1)</f>
        <v>3</v>
      </c>
      <c r="R1">
        <f ca="1">INDIRECT(ADDRESS(4,A1,1,1,"Hřiště"))</f>
        <v>4</v>
      </c>
      <c r="S1">
        <f ca="1">INDIRECT(ADDRESS(5,A1,1,1,"Hřiště"))</f>
        <v>4</v>
      </c>
      <c r="T1">
        <f ca="1">IF(L1=0,0,CHOOSE(L1,0,1,1,2,2,3))</f>
        <v>1</v>
      </c>
    </row>
    <row r="2" spans="1:20" ht="40.950000000000003" customHeight="1">
      <c r="A2" s="71"/>
      <c r="B2" s="71" t="s">
        <v>49</v>
      </c>
      <c r="C2" s="73"/>
      <c r="D2" s="71"/>
      <c r="E2" s="71"/>
    </row>
    <row r="3" spans="1:20" ht="18.45">
      <c r="A3" s="71">
        <v>1</v>
      </c>
      <c r="B3" s="43" t="str">
        <f ca="1">IF(TYPE(VLOOKUP(CONCATENATE($C$1,A3),Skupiny!$A$3:$B$130,2,0))&gt;4," - ",VLOOKUP(CONCATENATE($C$1,A3),Skupiny!$A$3:$B$130,2,0))</f>
        <v>4 CdP Loděnice - Resl Jan</v>
      </c>
      <c r="C3" s="71"/>
      <c r="D3" s="71"/>
      <c r="E3" s="71"/>
    </row>
    <row r="4" spans="1:20" ht="18.45">
      <c r="A4" s="71">
        <v>2</v>
      </c>
      <c r="B4" s="43" t="str">
        <f ca="1">IF(TYPE(VLOOKUP(CONCATENATE($C$1,A4),Skupiny!$A$3:$B$130,2,0))&gt;4," - ",VLOOKUP(CONCATENATE($C$1,A4),Skupiny!$A$3:$B$130,2,0))</f>
        <v>29 Carreau Brno - Grepl Jiří</v>
      </c>
      <c r="C4" s="71"/>
      <c r="D4" s="71"/>
      <c r="E4" s="71"/>
    </row>
    <row r="5" spans="1:20" ht="18.45">
      <c r="A5" s="71">
        <v>3</v>
      </c>
      <c r="B5" s="43" t="str">
        <f ca="1">IF(TYPE(VLOOKUP(CONCATENATE($C$1,A5),Skupiny!$A$3:$B$130,2,0))&gt;4," - ",VLOOKUP(CONCATENATE($C$1,A5),Skupiny!$A$3:$B$130,2,0))</f>
        <v>36 HRODE KRUMSÍN - Rolínek Michal</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4 CdP Loděnice - Resl Jan</v>
      </c>
      <c r="C8" s="75">
        <f>IF(('Hra 2P'!E26=""),"",'Hra 2P'!E26)</f>
        <v>1</v>
      </c>
      <c r="D8" s="75">
        <f>IF(('Hra 2P'!F26=""),"",'Hra 2P'!F26)</f>
        <v>0</v>
      </c>
      <c r="E8" s="43" t="str">
        <f ca="1">B6</f>
        <v xml:space="preserve"> - </v>
      </c>
    </row>
    <row r="9" spans="1:20" ht="18.45">
      <c r="A9" s="71"/>
      <c r="B9" s="43" t="str">
        <f ca="1">B4</f>
        <v>29 Carreau Brno - Grepl Jiří</v>
      </c>
      <c r="C9" s="75">
        <f>IF(('Hra 2P'!E27=""),"",'Hra 2P'!E27)</f>
        <v>13</v>
      </c>
      <c r="D9" s="75">
        <f>IF(('Hra 2P'!F27=""),"",'Hra 2P'!F27)</f>
        <v>2</v>
      </c>
      <c r="E9" s="43" t="str">
        <f ca="1">B5</f>
        <v>36 HRODE KRUMSÍN - Rolínek Michal</v>
      </c>
    </row>
    <row r="10" spans="1:20" ht="18.45">
      <c r="A10" s="76" t="s">
        <v>46</v>
      </c>
      <c r="B10" s="43" t="str">
        <f ca="1">IF(TRIM(E8)="-",B8,IF(AND(C8="",D8="")," ",IF(N(C8)&gt;N(D8),B8,E8)))</f>
        <v>4 CdP Loděnice - Resl Jan</v>
      </c>
      <c r="C10" s="75">
        <f>IF(('Hra 2P'!E28=""),"",'Hra 2P'!E28)</f>
        <v>13</v>
      </c>
      <c r="D10" s="75">
        <f>IF(('Hra 2P'!F28=""),"",'Hra 2P'!F28)</f>
        <v>6</v>
      </c>
      <c r="E10" s="43" t="str">
        <f ca="1">IF(AND(C9="",D9="")," ",IF(N(C9)&gt;N(D9),B9,E9))</f>
        <v>29 Carreau Brno - Grepl Jiří</v>
      </c>
    </row>
    <row r="11" spans="1:20" ht="18.45">
      <c r="A11" s="76" t="s">
        <v>47</v>
      </c>
      <c r="B11" s="43" t="str">
        <f ca="1">IF(TRIM(E8)="-",E8,IF(AND(C8="",D8="")," ",IF(N(C8)&gt;N(D8),E8,B8)))</f>
        <v xml:space="preserve"> - </v>
      </c>
      <c r="C11" s="75">
        <f>IF(('Hra 2P'!E29=""),"",'Hra 2P'!E29)</f>
        <v>0</v>
      </c>
      <c r="D11" s="75">
        <f>IF(('Hra 2P'!F29=""),"",'Hra 2P'!F29)</f>
        <v>1</v>
      </c>
      <c r="E11" s="43" t="str">
        <f ca="1">IF(TRIM(E9)="",E9,IF(AND(C9="",D9="")," ",IF(N(C9)&gt;N(D9),E9,B9)))</f>
        <v>36 HRODE KRUMSÍN - Rolínek Michal</v>
      </c>
    </row>
    <row r="12" spans="1:20" ht="18.45">
      <c r="A12" s="76" t="s">
        <v>48</v>
      </c>
      <c r="B12" s="43" t="str">
        <f ca="1">IF(TRIM(E10)="",E10,IF(AND(C10="",D10="")," ",IF(N(C10)&gt;N(D10),E10,B10)))</f>
        <v>29 Carreau Brno - Grepl Jiří</v>
      </c>
      <c r="C12" s="75">
        <f>IF(('Hra 2P'!E30=""),"",'Hra 2P'!E30)</f>
        <v>13</v>
      </c>
      <c r="D12" s="75">
        <f>IF(('Hra 2P'!F30=""),"",'Hra 2P'!F30)</f>
        <v>4</v>
      </c>
      <c r="E12" s="43" t="str">
        <f ca="1">IF(AND(TRIM(B11)="",TRIM(E8)=""),E11,IF(AND(C11="",D11="")," ",IF(N(C11)&gt;N(D11),B11,E11)))</f>
        <v>36 HRODE KRUMSÍN - Rolínek Michal</v>
      </c>
    </row>
    <row r="13" spans="1:20" ht="37.200000000000003" customHeight="1">
      <c r="A13" s="71"/>
      <c r="B13" s="77" t="s">
        <v>52</v>
      </c>
      <c r="C13" s="78" t="s">
        <v>116</v>
      </c>
      <c r="D13" s="71"/>
      <c r="E13" s="71"/>
    </row>
    <row r="14" spans="1:20" ht="18.45">
      <c r="A14" s="71" t="s">
        <v>31</v>
      </c>
      <c r="B14" s="43" t="str">
        <f ca="1">IF(N(C10)+N(D10)&gt;0,IF(N(C10)&gt;N(D10),B10,E10),"")</f>
        <v>4 CdP Loděnice - Resl Jan</v>
      </c>
      <c r="C14" s="74" t="str">
        <f>CONCATENATE($C$1,A3)</f>
        <v>D1</v>
      </c>
      <c r="D14" s="71"/>
      <c r="E14" s="71"/>
    </row>
    <row r="15" spans="1:20" ht="18.45">
      <c r="A15" s="71" t="s">
        <v>32</v>
      </c>
      <c r="B15" s="43" t="str">
        <f ca="1">IF(N(C12)+N(D12)&gt;0,IF(N(C12)&gt;N(D12),B12,E12),"")</f>
        <v>29 Carreau Brno - Grepl Jiří</v>
      </c>
      <c r="C15" s="74" t="str">
        <f>CONCATENATE($C$1,A4)</f>
        <v>D2</v>
      </c>
      <c r="D15" s="71"/>
      <c r="E15" s="71"/>
    </row>
    <row r="16" spans="1:20" ht="18.45">
      <c r="A16" s="71" t="s">
        <v>33</v>
      </c>
      <c r="B16" s="43" t="str">
        <f ca="1">IF(N(C12)+N(D12)&gt;0,IF(N(C12)&gt;N(D12),E12,B12),"")</f>
        <v>36 HRODE KRUMSÍN - Rolínek Michal</v>
      </c>
      <c r="C16" s="74" t="str">
        <f>CONCATENATE($C$1,A5)</f>
        <v>D3</v>
      </c>
      <c r="D16" s="71"/>
      <c r="E16" s="71"/>
    </row>
    <row r="17" spans="1:5" ht="18.45">
      <c r="A17" s="71" t="s">
        <v>34</v>
      </c>
      <c r="B17" s="79" t="str">
        <f ca="1">IF(N(C11)+N(D11)&gt;0,IF(N(C11)&gt;N(D11),E11,B11),"")</f>
        <v xml:space="preserve"> - </v>
      </c>
      <c r="C17" s="74" t="str">
        <f>CONCATENATE($C$1,A6)</f>
        <v>D4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1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5</v>
      </c>
      <c r="B1" s="72" t="s">
        <v>113</v>
      </c>
      <c r="C1" s="72" t="s">
        <v>86</v>
      </c>
      <c r="D1" s="73"/>
      <c r="E1" s="71"/>
      <c r="F1">
        <f>VLOOKUP(A1,'Hra 2P'!I8:J198,2,0)</f>
        <v>32</v>
      </c>
      <c r="L1">
        <f ca="1">IF(TRIM(B3)="-",0,1) + IF(TRIM(B4)="-",0,1) + IF(TRIM(B5)="-",0,1) + IF(TRIM(B6)="-",0,1)</f>
        <v>3</v>
      </c>
      <c r="R1">
        <f ca="1">INDIRECT(ADDRESS(4,A1,1,1,"Hřiště"))</f>
        <v>5</v>
      </c>
      <c r="S1">
        <f ca="1">INDIRECT(ADDRESS(5,A1,1,1,"Hřiště"))</f>
        <v>5</v>
      </c>
      <c r="T1">
        <f ca="1">IF(L1=0,0,CHOOSE(L1,0,1,1,2,2,3))</f>
        <v>1</v>
      </c>
    </row>
    <row r="2" spans="1:20" ht="40.950000000000003" customHeight="1">
      <c r="A2" s="71"/>
      <c r="B2" s="71" t="s">
        <v>49</v>
      </c>
      <c r="C2" s="73"/>
      <c r="D2" s="71"/>
      <c r="E2" s="71"/>
    </row>
    <row r="3" spans="1:20" ht="18.45">
      <c r="A3" s="71">
        <v>1</v>
      </c>
      <c r="B3" s="43" t="str">
        <f ca="1">IF(TYPE(VLOOKUP(CONCATENATE($C$1,A3),Skupiny!$A$3:$B$130,2,0))&gt;4," - ",VLOOKUP(CONCATENATE($C$1,A3),Skupiny!$A$3:$B$130,2,0))</f>
        <v>5 TOP - ORLOVÁ - Bačo David</v>
      </c>
      <c r="C3" s="71"/>
      <c r="D3" s="71"/>
      <c r="E3" s="71"/>
    </row>
    <row r="4" spans="1:20" ht="18.45">
      <c r="A4" s="71">
        <v>2</v>
      </c>
      <c r="B4" s="43" t="str">
        <f ca="1">IF(TYPE(VLOOKUP(CONCATENATE($C$1,A4),Skupiny!$A$3:$B$130,2,0))&gt;4," - ",VLOOKUP(CONCATENATE($C$1,A4),Skupiny!$A$3:$B$130,2,0))</f>
        <v>28 Petank Club Praha - Kašparová Barbora</v>
      </c>
      <c r="C4" s="71"/>
      <c r="D4" s="71"/>
      <c r="E4" s="71"/>
    </row>
    <row r="5" spans="1:20" ht="18.45">
      <c r="A5" s="71">
        <v>3</v>
      </c>
      <c r="B5" s="43" t="str">
        <f ca="1">IF(TYPE(VLOOKUP(CONCATENATE($C$1,A5),Skupiny!$A$3:$B$130,2,0))&gt;4," - ",VLOOKUP(CONCATENATE($C$1,A5),Skupiny!$A$3:$B$130,2,0))</f>
        <v>37 PC Sokol Lipník - Šplechtová Dana</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5 TOP - ORLOVÁ - Bačo David</v>
      </c>
      <c r="C8" s="75">
        <f>IF(('Hra 2P'!E32=""),"",'Hra 2P'!E32)</f>
        <v>1</v>
      </c>
      <c r="D8" s="75">
        <f>IF(('Hra 2P'!F32=""),"",'Hra 2P'!F32)</f>
        <v>0</v>
      </c>
      <c r="E8" s="43" t="str">
        <f ca="1">B6</f>
        <v xml:space="preserve"> - </v>
      </c>
    </row>
    <row r="9" spans="1:20" ht="18.45">
      <c r="A9" s="71"/>
      <c r="B9" s="43" t="str">
        <f ca="1">B4</f>
        <v>28 Petank Club Praha - Kašparová Barbora</v>
      </c>
      <c r="C9" s="75">
        <f>IF(('Hra 2P'!E33=""),"",'Hra 2P'!E33)</f>
        <v>4</v>
      </c>
      <c r="D9" s="75">
        <f>IF(('Hra 2P'!F33=""),"",'Hra 2P'!F33)</f>
        <v>13</v>
      </c>
      <c r="E9" s="43" t="str">
        <f ca="1">B5</f>
        <v>37 PC Sokol Lipník - Šplechtová Dana</v>
      </c>
    </row>
    <row r="10" spans="1:20" ht="18.45">
      <c r="A10" s="76" t="s">
        <v>46</v>
      </c>
      <c r="B10" s="43" t="str">
        <f ca="1">IF(TRIM(E8)="-",B8,IF(AND(C8="",D8="")," ",IF(N(C8)&gt;N(D8),B8,E8)))</f>
        <v>5 TOP - ORLOVÁ - Bačo David</v>
      </c>
      <c r="C10" s="75">
        <f>IF(('Hra 2P'!E34=""),"",'Hra 2P'!E34)</f>
        <v>13</v>
      </c>
      <c r="D10" s="75">
        <f>IF(('Hra 2P'!F34=""),"",'Hra 2P'!F34)</f>
        <v>9</v>
      </c>
      <c r="E10" s="43" t="str">
        <f ca="1">IF(AND(C9="",D9="")," ",IF(N(C9)&gt;N(D9),B9,E9))</f>
        <v>37 PC Sokol Lipník - Šplechtová Dana</v>
      </c>
    </row>
    <row r="11" spans="1:20" ht="18.45">
      <c r="A11" s="76" t="s">
        <v>47</v>
      </c>
      <c r="B11" s="43" t="str">
        <f ca="1">IF(TRIM(E8)="-",E8,IF(AND(C8="",D8="")," ",IF(N(C8)&gt;N(D8),E8,B8)))</f>
        <v xml:space="preserve"> - </v>
      </c>
      <c r="C11" s="75">
        <f>IF(('Hra 2P'!E35=""),"",'Hra 2P'!E35)</f>
        <v>0</v>
      </c>
      <c r="D11" s="75">
        <f>IF(('Hra 2P'!F35=""),"",'Hra 2P'!F35)</f>
        <v>1</v>
      </c>
      <c r="E11" s="43" t="str">
        <f ca="1">IF(TRIM(E9)="",E9,IF(AND(C9="",D9="")," ",IF(N(C9)&gt;N(D9),E9,B9)))</f>
        <v>28 Petank Club Praha - Kašparová Barbora</v>
      </c>
    </row>
    <row r="12" spans="1:20" ht="18.45">
      <c r="A12" s="76" t="s">
        <v>48</v>
      </c>
      <c r="B12" s="43" t="str">
        <f ca="1">IF(TRIM(E10)="",E10,IF(AND(C10="",D10="")," ",IF(N(C10)&gt;N(D10),E10,B10)))</f>
        <v>37 PC Sokol Lipník - Šplechtová Dana</v>
      </c>
      <c r="C12" s="75">
        <f>IF(('Hra 2P'!E36=""),"",'Hra 2P'!E36)</f>
        <v>13</v>
      </c>
      <c r="D12" s="75">
        <f>IF(('Hra 2P'!F36=""),"",'Hra 2P'!F36)</f>
        <v>10</v>
      </c>
      <c r="E12" s="43" t="str">
        <f ca="1">IF(AND(TRIM(B11)="",TRIM(E8)=""),E11,IF(AND(C11="",D11="")," ",IF(N(C11)&gt;N(D11),B11,E11)))</f>
        <v>28 Petank Club Praha - Kašparová Barbora</v>
      </c>
    </row>
    <row r="13" spans="1:20" ht="37.200000000000003" customHeight="1">
      <c r="A13" s="71"/>
      <c r="B13" s="77" t="s">
        <v>52</v>
      </c>
      <c r="C13" s="78" t="s">
        <v>116</v>
      </c>
      <c r="D13" s="71"/>
      <c r="E13" s="71"/>
    </row>
    <row r="14" spans="1:20" ht="18.45">
      <c r="A14" s="71" t="s">
        <v>31</v>
      </c>
      <c r="B14" s="43" t="str">
        <f ca="1">IF(N(C10)+N(D10)&gt;0,IF(N(C10)&gt;N(D10),B10,E10),"")</f>
        <v>5 TOP - ORLOVÁ - Bačo David</v>
      </c>
      <c r="C14" s="74" t="str">
        <f>CONCATENATE($C$1,A3)</f>
        <v>E1</v>
      </c>
      <c r="D14" s="71"/>
      <c r="E14" s="71"/>
    </row>
    <row r="15" spans="1:20" ht="18.45">
      <c r="A15" s="71" t="s">
        <v>32</v>
      </c>
      <c r="B15" s="43" t="str">
        <f ca="1">IF(N(C12)+N(D12)&gt;0,IF(N(C12)&gt;N(D12),B12,E12),"")</f>
        <v>37 PC Sokol Lipník - Šplechtová Dana</v>
      </c>
      <c r="C15" s="74" t="str">
        <f>CONCATENATE($C$1,A4)</f>
        <v>E2</v>
      </c>
      <c r="D15" s="71"/>
      <c r="E15" s="71"/>
    </row>
    <row r="16" spans="1:20" ht="18.45">
      <c r="A16" s="71" t="s">
        <v>33</v>
      </c>
      <c r="B16" s="43" t="str">
        <f ca="1">IF(N(C12)+N(D12)&gt;0,IF(N(C12)&gt;N(D12),E12,B12),"")</f>
        <v>28 Petank Club Praha - Kašparová Barbora</v>
      </c>
      <c r="C16" s="74" t="str">
        <f>CONCATENATE($C$1,A5)</f>
        <v>E3</v>
      </c>
      <c r="D16" s="71"/>
      <c r="E16" s="71"/>
    </row>
    <row r="17" spans="1:5" ht="18.45">
      <c r="A17" s="71" t="s">
        <v>34</v>
      </c>
      <c r="B17" s="79" t="str">
        <f ca="1">IF(N(C11)+N(D11)&gt;0,IF(N(C11)&gt;N(D11),E11,B11),"")</f>
        <v xml:space="preserve"> - </v>
      </c>
      <c r="C17" s="74" t="str">
        <f>CONCATENATE($C$1,A6)</f>
        <v>E4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1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6</v>
      </c>
      <c r="B1" s="72" t="s">
        <v>113</v>
      </c>
      <c r="C1" s="72" t="s">
        <v>87</v>
      </c>
      <c r="D1" s="73"/>
      <c r="E1" s="71"/>
      <c r="F1">
        <f>VLOOKUP(A1,'Hra 2P'!I8:J198,2,0)</f>
        <v>38</v>
      </c>
      <c r="L1">
        <f ca="1">IF(TRIM(B3)="-",0,1) + IF(TRIM(B4)="-",0,1) + IF(TRIM(B5)="-",0,1) + IF(TRIM(B6)="-",0,1)</f>
        <v>4</v>
      </c>
      <c r="R1">
        <f ca="1">INDIRECT(ADDRESS(4,A1,1,1,"Hřiště"))</f>
        <v>6</v>
      </c>
      <c r="S1">
        <f ca="1">INDIRECT(ADDRESS(5,A1,1,1,"Hřiště"))</f>
        <v>7</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6 CdP Loděnice - Dlouhá Ivana</v>
      </c>
      <c r="C3" s="71"/>
      <c r="D3" s="71"/>
      <c r="E3" s="71"/>
    </row>
    <row r="4" spans="1:20" ht="18.45">
      <c r="A4" s="71">
        <v>2</v>
      </c>
      <c r="B4" s="43" t="str">
        <f ca="1">IF(TYPE(VLOOKUP(CONCATENATE($C$1,A4),Skupiny!$A$3:$B$130,2,0))&gt;4," - ",VLOOKUP(CONCATENATE($C$1,A4),Skupiny!$A$3:$B$130,2,0))</f>
        <v>27 1. KPK Vrchlabí - Kapeš Roman</v>
      </c>
      <c r="C4" s="71"/>
      <c r="D4" s="71"/>
      <c r="E4" s="71"/>
    </row>
    <row r="5" spans="1:20" ht="18.45">
      <c r="A5" s="71">
        <v>3</v>
      </c>
      <c r="B5" s="43" t="str">
        <f ca="1">IF(TYPE(VLOOKUP(CONCATENATE($C$1,A5),Skupiny!$A$3:$B$130,2,0))&gt;4," - ",VLOOKUP(CONCATENATE($C$1,A5),Skupiny!$A$3:$B$130,2,0))</f>
        <v>38 UBU Únětice - Křížek Evžen</v>
      </c>
      <c r="C5" s="71"/>
      <c r="D5" s="71"/>
      <c r="E5" s="71"/>
    </row>
    <row r="6" spans="1:20" ht="18.45">
      <c r="A6" s="71">
        <v>4</v>
      </c>
      <c r="B6" s="43" t="str">
        <f ca="1">IF(TYPE(VLOOKUP(CONCATENATE($C$1,A6),Skupiny!$A$3:$B$130,2,0))&gt;4," - ",VLOOKUP(CONCATENATE($C$1,A6),Skupiny!$A$3:$B$130,2,0))</f>
        <v>59 PSK Jihlava - Půža Jan</v>
      </c>
      <c r="C6" s="71"/>
      <c r="D6" s="71"/>
      <c r="E6" s="71"/>
    </row>
    <row r="7" spans="1:20" ht="36.65" customHeight="1">
      <c r="A7" s="71"/>
      <c r="B7" s="71" t="s">
        <v>50</v>
      </c>
      <c r="C7" s="74" t="s">
        <v>51</v>
      </c>
      <c r="D7" s="71" t="s">
        <v>51</v>
      </c>
      <c r="E7" s="71"/>
    </row>
    <row r="8" spans="1:20" ht="18.45">
      <c r="A8" s="71"/>
      <c r="B8" s="43" t="str">
        <f ca="1">B3</f>
        <v>6 CdP Loděnice - Dlouhá Ivana</v>
      </c>
      <c r="C8" s="75">
        <f>IF(('Hra 2P'!E38=""),"",'Hra 2P'!E38)</f>
        <v>13</v>
      </c>
      <c r="D8" s="75">
        <f>IF(('Hra 2P'!F38=""),"",'Hra 2P'!F38)</f>
        <v>5</v>
      </c>
      <c r="E8" s="43" t="str">
        <f ca="1">B6</f>
        <v>59 PSK Jihlava - Půža Jan</v>
      </c>
    </row>
    <row r="9" spans="1:20" ht="18.45">
      <c r="A9" s="71"/>
      <c r="B9" s="43" t="str">
        <f ca="1">B4</f>
        <v>27 1. KPK Vrchlabí - Kapeš Roman</v>
      </c>
      <c r="C9" s="75">
        <f>IF(('Hra 2P'!E39=""),"",'Hra 2P'!E39)</f>
        <v>13</v>
      </c>
      <c r="D9" s="75">
        <f>IF(('Hra 2P'!F39=""),"",'Hra 2P'!F39)</f>
        <v>6</v>
      </c>
      <c r="E9" s="43" t="str">
        <f ca="1">B5</f>
        <v>38 UBU Únětice - Křížek Evžen</v>
      </c>
    </row>
    <row r="10" spans="1:20" ht="18.45">
      <c r="A10" s="76" t="s">
        <v>46</v>
      </c>
      <c r="B10" s="43" t="str">
        <f ca="1">IF(TRIM(E8)="-",B8,IF(AND(C8="",D8="")," ",IF(N(C8)&gt;N(D8),B8,E8)))</f>
        <v>6 CdP Loděnice - Dlouhá Ivana</v>
      </c>
      <c r="C10" s="75">
        <f>IF(('Hra 2P'!E40=""),"",'Hra 2P'!E40)</f>
        <v>13</v>
      </c>
      <c r="D10" s="75">
        <f>IF(('Hra 2P'!F40=""),"",'Hra 2P'!F40)</f>
        <v>12</v>
      </c>
      <c r="E10" s="43" t="str">
        <f ca="1">IF(AND(C9="",D9="")," ",IF(N(C9)&gt;N(D9),B9,E9))</f>
        <v>27 1. KPK Vrchlabí - Kapeš Roman</v>
      </c>
    </row>
    <row r="11" spans="1:20" ht="18.45">
      <c r="A11" s="76" t="s">
        <v>47</v>
      </c>
      <c r="B11" s="43" t="str">
        <f ca="1">IF(TRIM(E8)="-",E8,IF(AND(C8="",D8="")," ",IF(N(C8)&gt;N(D8),E8,B8)))</f>
        <v>59 PSK Jihlava - Půža Jan</v>
      </c>
      <c r="C11" s="75">
        <f>IF(('Hra 2P'!E41=""),"",'Hra 2P'!E41)</f>
        <v>13</v>
      </c>
      <c r="D11" s="75">
        <f>IF(('Hra 2P'!F41=""),"",'Hra 2P'!F41)</f>
        <v>6</v>
      </c>
      <c r="E11" s="43" t="str">
        <f ca="1">IF(TRIM(E9)="",E9,IF(AND(C9="",D9="")," ",IF(N(C9)&gt;N(D9),E9,B9)))</f>
        <v>38 UBU Únětice - Křížek Evžen</v>
      </c>
    </row>
    <row r="12" spans="1:20" ht="18.45">
      <c r="A12" s="76" t="s">
        <v>48</v>
      </c>
      <c r="B12" s="43" t="str">
        <f ca="1">IF(TRIM(E10)="",E10,IF(AND(C10="",D10="")," ",IF(N(C10)&gt;N(D10),E10,B10)))</f>
        <v>27 1. KPK Vrchlabí - Kapeš Roman</v>
      </c>
      <c r="C12" s="75">
        <f>IF(('Hra 2P'!E42=""),"",'Hra 2P'!E42)</f>
        <v>13</v>
      </c>
      <c r="D12" s="75">
        <f>IF(('Hra 2P'!F42=""),"",'Hra 2P'!F42)</f>
        <v>10</v>
      </c>
      <c r="E12" s="43" t="str">
        <f ca="1">IF(AND(TRIM(B11)="",TRIM(E8)=""),E11,IF(AND(C11="",D11="")," ",IF(N(C11)&gt;N(D11),B11,E11)))</f>
        <v>59 PSK Jihlava - Půža Jan</v>
      </c>
    </row>
    <row r="13" spans="1:20" ht="37.200000000000003" customHeight="1">
      <c r="A13" s="71"/>
      <c r="B13" s="77" t="s">
        <v>52</v>
      </c>
      <c r="C13" s="78" t="s">
        <v>116</v>
      </c>
      <c r="D13" s="71"/>
      <c r="E13" s="71"/>
    </row>
    <row r="14" spans="1:20" ht="18.45">
      <c r="A14" s="71" t="s">
        <v>31</v>
      </c>
      <c r="B14" s="43" t="str">
        <f ca="1">IF(N(C10)+N(D10)&gt;0,IF(N(C10)&gt;N(D10),B10,E10),"")</f>
        <v>6 CdP Loděnice - Dlouhá Ivana</v>
      </c>
      <c r="C14" s="74" t="str">
        <f>CONCATENATE($C$1,A3)</f>
        <v>F1</v>
      </c>
      <c r="D14" s="71"/>
      <c r="E14" s="71"/>
    </row>
    <row r="15" spans="1:20" ht="18.45">
      <c r="A15" s="71" t="s">
        <v>32</v>
      </c>
      <c r="B15" s="43" t="str">
        <f ca="1">IF(N(C12)+N(D12)&gt;0,IF(N(C12)&gt;N(D12),B12,E12),"")</f>
        <v>27 1. KPK Vrchlabí - Kapeš Roman</v>
      </c>
      <c r="C15" s="74" t="str">
        <f>CONCATENATE($C$1,A4)</f>
        <v>F2</v>
      </c>
      <c r="D15" s="71"/>
      <c r="E15" s="71"/>
    </row>
    <row r="16" spans="1:20" ht="18.45">
      <c r="A16" s="71" t="s">
        <v>33</v>
      </c>
      <c r="B16" s="43" t="str">
        <f ca="1">IF(N(C12)+N(D12)&gt;0,IF(N(C12)&gt;N(D12),E12,B12),"")</f>
        <v>59 PSK Jihlava - Půža Jan</v>
      </c>
      <c r="C16" s="74" t="str">
        <f>CONCATENATE($C$1,A5)</f>
        <v>F3</v>
      </c>
      <c r="D16" s="71"/>
      <c r="E16" s="71"/>
    </row>
    <row r="17" spans="1:5" ht="18.45">
      <c r="A17" s="71" t="s">
        <v>34</v>
      </c>
      <c r="B17" s="79" t="str">
        <f ca="1">IF(N(C11)+N(D11)&gt;0,IF(N(C11)&gt;N(D11),E11,B11),"")</f>
        <v>38 UBU Únětice - Křížek Evžen</v>
      </c>
      <c r="C17" s="74" t="str">
        <f>CONCATENATE($C$1,A6)</f>
        <v>F4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1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7</v>
      </c>
      <c r="B1" s="72" t="s">
        <v>113</v>
      </c>
      <c r="C1" s="72" t="s">
        <v>88</v>
      </c>
      <c r="D1" s="73"/>
      <c r="E1" s="71"/>
      <c r="F1">
        <f>VLOOKUP(A1,'Hra 2P'!I8:J198,2,0)</f>
        <v>44</v>
      </c>
      <c r="L1">
        <f ca="1">IF(TRIM(B3)="-",0,1) + IF(TRIM(B4)="-",0,1) + IF(TRIM(B5)="-",0,1) + IF(TRIM(B6)="-",0,1)</f>
        <v>4</v>
      </c>
      <c r="R1">
        <f ca="1">INDIRECT(ADDRESS(4,A1,1,1,"Hřiště"))</f>
        <v>8</v>
      </c>
      <c r="S1">
        <f ca="1">INDIRECT(ADDRESS(5,A1,1,1,"Hřiště"))</f>
        <v>9</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7 HRODE KRUMSÍN - Motl Bohuslav</v>
      </c>
      <c r="C3" s="71"/>
      <c r="D3" s="71"/>
      <c r="E3" s="71"/>
    </row>
    <row r="4" spans="1:20" ht="18.45">
      <c r="A4" s="71">
        <v>2</v>
      </c>
      <c r="B4" s="43" t="str">
        <f ca="1">IF(TYPE(VLOOKUP(CONCATENATE($C$1,A4),Skupiny!$A$3:$B$130,2,0))&gt;4," - ",VLOOKUP(CONCATENATE($C$1,A4),Skupiny!$A$3:$B$130,2,0))</f>
        <v>26 HAVAJ CB - Koreš st. Jiří</v>
      </c>
      <c r="C4" s="71"/>
      <c r="D4" s="71"/>
      <c r="E4" s="71"/>
    </row>
    <row r="5" spans="1:20" ht="18.45">
      <c r="A5" s="71">
        <v>3</v>
      </c>
      <c r="B5" s="43" t="str">
        <f ca="1">IF(TYPE(VLOOKUP(CONCATENATE($C$1,A5),Skupiny!$A$3:$B$130,2,0))&gt;4," - ",VLOOKUP(CONCATENATE($C$1,A5),Skupiny!$A$3:$B$130,2,0))</f>
        <v>39 Orel Řečkovice - Mareček Pavel</v>
      </c>
      <c r="C5" s="71"/>
      <c r="D5" s="71"/>
      <c r="E5" s="71"/>
    </row>
    <row r="6" spans="1:20" ht="18.45">
      <c r="A6" s="71">
        <v>4</v>
      </c>
      <c r="B6" s="43" t="str">
        <f ca="1">IF(TYPE(VLOOKUP(CONCATENATE($C$1,A6),Skupiny!$A$3:$B$130,2,0))&gt;4," - ",VLOOKUP(CONCATENATE($C$1,A6),Skupiny!$A$3:$B$130,2,0))</f>
        <v>58 PSK Jihlava - Žáková Naděžda</v>
      </c>
      <c r="C6" s="71"/>
      <c r="D6" s="71"/>
      <c r="E6" s="71"/>
    </row>
    <row r="7" spans="1:20" ht="36.65" customHeight="1">
      <c r="A7" s="71"/>
      <c r="B7" s="71" t="s">
        <v>50</v>
      </c>
      <c r="C7" s="74" t="s">
        <v>51</v>
      </c>
      <c r="D7" s="71" t="s">
        <v>51</v>
      </c>
      <c r="E7" s="71"/>
    </row>
    <row r="8" spans="1:20" ht="18.45">
      <c r="A8" s="71"/>
      <c r="B8" s="43" t="str">
        <f ca="1">B3</f>
        <v>7 HRODE KRUMSÍN - Motl Bohuslav</v>
      </c>
      <c r="C8" s="75">
        <f>IF(('Hra 2P'!E44=""),"",'Hra 2P'!E44)</f>
        <v>13</v>
      </c>
      <c r="D8" s="75">
        <f>IF(('Hra 2P'!F44=""),"",'Hra 2P'!F44)</f>
        <v>2</v>
      </c>
      <c r="E8" s="43" t="str">
        <f ca="1">B6</f>
        <v>58 PSK Jihlava - Žáková Naděžda</v>
      </c>
    </row>
    <row r="9" spans="1:20" ht="18.45">
      <c r="A9" s="71"/>
      <c r="B9" s="43" t="str">
        <f ca="1">B4</f>
        <v>26 HAVAJ CB - Koreš st. Jiří</v>
      </c>
      <c r="C9" s="75">
        <f>IF(('Hra 2P'!E45=""),"",'Hra 2P'!E45)</f>
        <v>13</v>
      </c>
      <c r="D9" s="75">
        <f>IF(('Hra 2P'!F45=""),"",'Hra 2P'!F45)</f>
        <v>9</v>
      </c>
      <c r="E9" s="43" t="str">
        <f ca="1">B5</f>
        <v>39 Orel Řečkovice - Mareček Pavel</v>
      </c>
    </row>
    <row r="10" spans="1:20" ht="18.45">
      <c r="A10" s="76" t="s">
        <v>46</v>
      </c>
      <c r="B10" s="43" t="str">
        <f ca="1">IF(TRIM(E8)="-",B8,IF(AND(C8="",D8="")," ",IF(N(C8)&gt;N(D8),B8,E8)))</f>
        <v>7 HRODE KRUMSÍN - Motl Bohuslav</v>
      </c>
      <c r="C10" s="75">
        <f>IF(('Hra 2P'!E46=""),"",'Hra 2P'!E46)</f>
        <v>2</v>
      </c>
      <c r="D10" s="75">
        <f>IF(('Hra 2P'!F46=""),"",'Hra 2P'!F46)</f>
        <v>13</v>
      </c>
      <c r="E10" s="43" t="str">
        <f ca="1">IF(AND(C9="",D9="")," ",IF(N(C9)&gt;N(D9),B9,E9))</f>
        <v>26 HAVAJ CB - Koreš st. Jiří</v>
      </c>
    </row>
    <row r="11" spans="1:20" ht="18.45">
      <c r="A11" s="76" t="s">
        <v>47</v>
      </c>
      <c r="B11" s="43" t="str">
        <f ca="1">IF(TRIM(E8)="-",E8,IF(AND(C8="",D8="")," ",IF(N(C8)&gt;N(D8),E8,B8)))</f>
        <v>58 PSK Jihlava - Žáková Naděžda</v>
      </c>
      <c r="C11" s="75">
        <f>IF(('Hra 2P'!E47=""),"",'Hra 2P'!E47)</f>
        <v>5</v>
      </c>
      <c r="D11" s="75">
        <f>IF(('Hra 2P'!F47=""),"",'Hra 2P'!F47)</f>
        <v>13</v>
      </c>
      <c r="E11" s="43" t="str">
        <f ca="1">IF(TRIM(E9)="",E9,IF(AND(C9="",D9="")," ",IF(N(C9)&gt;N(D9),E9,B9)))</f>
        <v>39 Orel Řečkovice - Mareček Pavel</v>
      </c>
    </row>
    <row r="12" spans="1:20" ht="18.45">
      <c r="A12" s="76" t="s">
        <v>48</v>
      </c>
      <c r="B12" s="43" t="str">
        <f ca="1">IF(TRIM(E10)="",E10,IF(AND(C10="",D10="")," ",IF(N(C10)&gt;N(D10),E10,B10)))</f>
        <v>7 HRODE KRUMSÍN - Motl Bohuslav</v>
      </c>
      <c r="C12" s="75">
        <f>IF(('Hra 2P'!E48=""),"",'Hra 2P'!E48)</f>
        <v>13</v>
      </c>
      <c r="D12" s="75">
        <f>IF(('Hra 2P'!F48=""),"",'Hra 2P'!F48)</f>
        <v>4</v>
      </c>
      <c r="E12" s="43" t="str">
        <f ca="1">IF(AND(TRIM(B11)="",TRIM(E8)=""),E11,IF(AND(C11="",D11="")," ",IF(N(C11)&gt;N(D11),B11,E11)))</f>
        <v>39 Orel Řečkovice - Mareček Pavel</v>
      </c>
    </row>
    <row r="13" spans="1:20" ht="37.200000000000003" customHeight="1">
      <c r="A13" s="71"/>
      <c r="B13" s="77" t="s">
        <v>52</v>
      </c>
      <c r="C13" s="78" t="s">
        <v>116</v>
      </c>
      <c r="D13" s="71"/>
      <c r="E13" s="71"/>
    </row>
    <row r="14" spans="1:20" ht="18.45">
      <c r="A14" s="71" t="s">
        <v>31</v>
      </c>
      <c r="B14" s="43" t="str">
        <f ca="1">IF(N(C10)+N(D10)&gt;0,IF(N(C10)&gt;N(D10),B10,E10),"")</f>
        <v>26 HAVAJ CB - Koreš st. Jiří</v>
      </c>
      <c r="C14" s="74" t="str">
        <f>CONCATENATE($C$1,A3)</f>
        <v>G1</v>
      </c>
      <c r="D14" s="71"/>
      <c r="E14" s="71"/>
    </row>
    <row r="15" spans="1:20" ht="18.45">
      <c r="A15" s="71" t="s">
        <v>32</v>
      </c>
      <c r="B15" s="43" t="str">
        <f ca="1">IF(N(C12)+N(D12)&gt;0,IF(N(C12)&gt;N(D12),B12,E12),"")</f>
        <v>7 HRODE KRUMSÍN - Motl Bohuslav</v>
      </c>
      <c r="C15" s="74" t="str">
        <f>CONCATENATE($C$1,A4)</f>
        <v>G2</v>
      </c>
      <c r="D15" s="71"/>
      <c r="E15" s="71"/>
    </row>
    <row r="16" spans="1:20" ht="18.45">
      <c r="A16" s="71" t="s">
        <v>33</v>
      </c>
      <c r="B16" s="43" t="str">
        <f ca="1">IF(N(C12)+N(D12)&gt;0,IF(N(C12)&gt;N(D12),E12,B12),"")</f>
        <v>39 Orel Řečkovice - Mareček Pavel</v>
      </c>
      <c r="C16" s="74" t="str">
        <f>CONCATENATE($C$1,A5)</f>
        <v>G3</v>
      </c>
      <c r="D16" s="71"/>
      <c r="E16" s="71"/>
    </row>
    <row r="17" spans="1:5" ht="18.45">
      <c r="A17" s="71" t="s">
        <v>34</v>
      </c>
      <c r="B17" s="79" t="str">
        <f ca="1">IF(N(C11)+N(D11)&gt;0,IF(N(C11)&gt;N(D11),E11,B11),"")</f>
        <v>58 PSK Jihlava - Žáková Naděžda</v>
      </c>
      <c r="C17" s="74" t="str">
        <f>CONCATENATE($C$1,A6)</f>
        <v>G4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1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8</v>
      </c>
      <c r="B1" s="72" t="s">
        <v>113</v>
      </c>
      <c r="C1" s="72" t="s">
        <v>89</v>
      </c>
      <c r="D1" s="73"/>
      <c r="E1" s="71"/>
      <c r="F1">
        <f>VLOOKUP(A1,'Hra 2P'!I8:J198,2,0)</f>
        <v>50</v>
      </c>
      <c r="L1">
        <f ca="1">IF(TRIM(B3)="-",0,1) + IF(TRIM(B4)="-",0,1) + IF(TRIM(B5)="-",0,1) + IF(TRIM(B6)="-",0,1)</f>
        <v>4</v>
      </c>
      <c r="R1">
        <f ca="1">INDIRECT(ADDRESS(4,A1,1,1,"Hřiště"))</f>
        <v>10</v>
      </c>
      <c r="S1">
        <f ca="1">INDIRECT(ADDRESS(5,A1,1,1,"Hřiště"))</f>
        <v>11</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8 1. KPK Vrchlabí - Vedral Filip</v>
      </c>
      <c r="C3" s="71"/>
      <c r="D3" s="71"/>
      <c r="E3" s="71"/>
    </row>
    <row r="4" spans="1:20" ht="18.45">
      <c r="A4" s="71">
        <v>2</v>
      </c>
      <c r="B4" s="43" t="str">
        <f ca="1">IF(TYPE(VLOOKUP(CONCATENATE($C$1,A4),Skupiny!$A$3:$B$130,2,0))&gt;4," - ",VLOOKUP(CONCATENATE($C$1,A4),Skupiny!$A$3:$B$130,2,0))</f>
        <v>25 1. Starobrněnský PK - Strouhalová Terezie</v>
      </c>
      <c r="C4" s="71"/>
      <c r="D4" s="71"/>
      <c r="E4" s="71"/>
    </row>
    <row r="5" spans="1:20" ht="18.45">
      <c r="A5" s="71">
        <v>3</v>
      </c>
      <c r="B5" s="43" t="str">
        <f ca="1">IF(TYPE(VLOOKUP(CONCATENATE($C$1,A5),Skupiny!$A$3:$B$130,2,0))&gt;4," - ",VLOOKUP(CONCATENATE($C$1,A5),Skupiny!$A$3:$B$130,2,0))</f>
        <v>40 PC Mimo Done - Šíma Jaroslav</v>
      </c>
      <c r="C5" s="71"/>
      <c r="D5" s="71"/>
      <c r="E5" s="71"/>
    </row>
    <row r="6" spans="1:20" ht="18.45">
      <c r="A6" s="71">
        <v>4</v>
      </c>
      <c r="B6" s="43" t="str">
        <f ca="1">IF(TYPE(VLOOKUP(CONCATENATE($C$1,A6),Skupiny!$A$3:$B$130,2,0))&gt;4," - ",VLOOKUP(CONCATENATE($C$1,A6),Skupiny!$A$3:$B$130,2,0))</f>
        <v>57 PSK Jihlava - Krupicová Natálie</v>
      </c>
      <c r="C6" s="71"/>
      <c r="D6" s="71"/>
      <c r="E6" s="71"/>
    </row>
    <row r="7" spans="1:20" ht="36.65" customHeight="1">
      <c r="A7" s="71"/>
      <c r="B7" s="71" t="s">
        <v>50</v>
      </c>
      <c r="C7" s="74" t="s">
        <v>51</v>
      </c>
      <c r="D7" s="71" t="s">
        <v>51</v>
      </c>
      <c r="E7" s="71"/>
    </row>
    <row r="8" spans="1:20" ht="18.45">
      <c r="A8" s="71"/>
      <c r="B8" s="43" t="str">
        <f ca="1">B3</f>
        <v>8 1. KPK Vrchlabí - Vedral Filip</v>
      </c>
      <c r="C8" s="75">
        <f>IF(('Hra 2P'!E50=""),"",'Hra 2P'!E50)</f>
        <v>13</v>
      </c>
      <c r="D8" s="75">
        <f>IF(('Hra 2P'!F50=""),"",'Hra 2P'!F50)</f>
        <v>9</v>
      </c>
      <c r="E8" s="43" t="str">
        <f ca="1">B6</f>
        <v>57 PSK Jihlava - Krupicová Natálie</v>
      </c>
    </row>
    <row r="9" spans="1:20" ht="18.45">
      <c r="A9" s="71"/>
      <c r="B9" s="43" t="str">
        <f ca="1">B4</f>
        <v>25 1. Starobrněnský PK - Strouhalová Terezie</v>
      </c>
      <c r="C9" s="75">
        <f>IF(('Hra 2P'!E51=""),"",'Hra 2P'!E51)</f>
        <v>3</v>
      </c>
      <c r="D9" s="75">
        <f>IF(('Hra 2P'!F51=""),"",'Hra 2P'!F51)</f>
        <v>13</v>
      </c>
      <c r="E9" s="43" t="str">
        <f ca="1">B5</f>
        <v>40 PC Mimo Done - Šíma Jaroslav</v>
      </c>
    </row>
    <row r="10" spans="1:20" ht="18.45">
      <c r="A10" s="76" t="s">
        <v>46</v>
      </c>
      <c r="B10" s="43" t="str">
        <f ca="1">IF(TRIM(E8)="-",B8,IF(AND(C8="",D8="")," ",IF(N(C8)&gt;N(D8),B8,E8)))</f>
        <v>8 1. KPK Vrchlabí - Vedral Filip</v>
      </c>
      <c r="C10" s="75">
        <f>IF(('Hra 2P'!E52=""),"",'Hra 2P'!E52)</f>
        <v>13</v>
      </c>
      <c r="D10" s="75">
        <f>IF(('Hra 2P'!F52=""),"",'Hra 2P'!F52)</f>
        <v>5</v>
      </c>
      <c r="E10" s="43" t="str">
        <f ca="1">IF(AND(C9="",D9="")," ",IF(N(C9)&gt;N(D9),B9,E9))</f>
        <v>40 PC Mimo Done - Šíma Jaroslav</v>
      </c>
    </row>
    <row r="11" spans="1:20" ht="18.45">
      <c r="A11" s="76" t="s">
        <v>47</v>
      </c>
      <c r="B11" s="43" t="str">
        <f ca="1">IF(TRIM(E8)="-",E8,IF(AND(C8="",D8="")," ",IF(N(C8)&gt;N(D8),E8,B8)))</f>
        <v>57 PSK Jihlava - Krupicová Natálie</v>
      </c>
      <c r="C11" s="75">
        <f>IF(('Hra 2P'!E53=""),"",'Hra 2P'!E53)</f>
        <v>6</v>
      </c>
      <c r="D11" s="75">
        <f>IF(('Hra 2P'!F53=""),"",'Hra 2P'!F53)</f>
        <v>13</v>
      </c>
      <c r="E11" s="43" t="str">
        <f ca="1">IF(TRIM(E9)="",E9,IF(AND(C9="",D9="")," ",IF(N(C9)&gt;N(D9),E9,B9)))</f>
        <v>25 1. Starobrněnský PK - Strouhalová Terezie</v>
      </c>
    </row>
    <row r="12" spans="1:20" ht="18.45">
      <c r="A12" s="76" t="s">
        <v>48</v>
      </c>
      <c r="B12" s="43" t="str">
        <f ca="1">IF(TRIM(E10)="",E10,IF(AND(C10="",D10="")," ",IF(N(C10)&gt;N(D10),E10,B10)))</f>
        <v>40 PC Mimo Done - Šíma Jaroslav</v>
      </c>
      <c r="C12" s="75">
        <f>IF(('Hra 2P'!E54=""),"",'Hra 2P'!E54)</f>
        <v>13</v>
      </c>
      <c r="D12" s="75">
        <f>IF(('Hra 2P'!F54=""),"",'Hra 2P'!F54)</f>
        <v>5</v>
      </c>
      <c r="E12" s="43" t="str">
        <f ca="1">IF(AND(TRIM(B11)="",TRIM(E8)=""),E11,IF(AND(C11="",D11="")," ",IF(N(C11)&gt;N(D11),B11,E11)))</f>
        <v>25 1. Starobrněnský PK - Strouhalová Terezie</v>
      </c>
    </row>
    <row r="13" spans="1:20" ht="37.200000000000003" customHeight="1">
      <c r="A13" s="71"/>
      <c r="B13" s="77" t="s">
        <v>52</v>
      </c>
      <c r="C13" s="78" t="s">
        <v>116</v>
      </c>
      <c r="D13" s="71"/>
      <c r="E13" s="71"/>
    </row>
    <row r="14" spans="1:20" ht="18.45">
      <c r="A14" s="71" t="s">
        <v>31</v>
      </c>
      <c r="B14" s="43" t="str">
        <f ca="1">IF(N(C10)+N(D10)&gt;0,IF(N(C10)&gt;N(D10),B10,E10),"")</f>
        <v>8 1. KPK Vrchlabí - Vedral Filip</v>
      </c>
      <c r="C14" s="74" t="str">
        <f>CONCATENATE($C$1,A3)</f>
        <v>H1</v>
      </c>
      <c r="D14" s="71"/>
      <c r="E14" s="71"/>
    </row>
    <row r="15" spans="1:20" ht="18.45">
      <c r="A15" s="71" t="s">
        <v>32</v>
      </c>
      <c r="B15" s="43" t="str">
        <f ca="1">IF(N(C12)+N(D12)&gt;0,IF(N(C12)&gt;N(D12),B12,E12),"")</f>
        <v>40 PC Mimo Done - Šíma Jaroslav</v>
      </c>
      <c r="C15" s="74" t="str">
        <f>CONCATENATE($C$1,A4)</f>
        <v>H2</v>
      </c>
      <c r="D15" s="71"/>
      <c r="E15" s="71"/>
    </row>
    <row r="16" spans="1:20" ht="18.45">
      <c r="A16" s="71" t="s">
        <v>33</v>
      </c>
      <c r="B16" s="43" t="str">
        <f ca="1">IF(N(C12)+N(D12)&gt;0,IF(N(C12)&gt;N(D12),E12,B12),"")</f>
        <v>25 1. Starobrněnský PK - Strouhalová Terezie</v>
      </c>
      <c r="C16" s="74" t="str">
        <f>CONCATENATE($C$1,A5)</f>
        <v>H3</v>
      </c>
      <c r="D16" s="71"/>
      <c r="E16" s="71"/>
    </row>
    <row r="17" spans="1:5" ht="18.45">
      <c r="A17" s="71" t="s">
        <v>34</v>
      </c>
      <c r="B17" s="79" t="str">
        <f ca="1">IF(N(C11)+N(D11)&gt;0,IF(N(C11)&gt;N(D11),E11,B11),"")</f>
        <v>57 PSK Jihlava - Krupicová Natálie</v>
      </c>
      <c r="C17" s="74" t="str">
        <f>CONCATENATE($C$1,A6)</f>
        <v>H4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ySplit="5" topLeftCell="A6" activePane="bottomLeft" state="frozen"/>
      <selection pane="bottomLeft" activeCell="A6" sqref="A6"/>
    </sheetView>
  </sheetViews>
  <sheetFormatPr defaultRowHeight="12"/>
  <cols>
    <col min="1" max="1" width="6" customWidth="1"/>
    <col min="2" max="2" width="51.4140625" customWidth="1"/>
  </cols>
  <sheetData>
    <row r="1" spans="1:3" ht="29.25" customHeight="1" thickBot="1">
      <c r="A1" s="140" t="s">
        <v>176</v>
      </c>
      <c r="B1" s="100"/>
      <c r="C1" s="101"/>
    </row>
    <row r="2" spans="1:3">
      <c r="A2" t="s">
        <v>177</v>
      </c>
    </row>
    <row r="3" spans="1:3" ht="12.45" thickBot="1"/>
    <row r="4" spans="1:3">
      <c r="A4" s="141" t="s">
        <v>178</v>
      </c>
      <c r="B4" s="142" t="s">
        <v>179</v>
      </c>
      <c r="C4" s="143" t="s">
        <v>180</v>
      </c>
    </row>
    <row r="5" spans="1:3" ht="12.45" thickBot="1">
      <c r="A5" s="144" t="s">
        <v>146</v>
      </c>
      <c r="B5" s="145"/>
      <c r="C5" s="146"/>
    </row>
    <row r="6" spans="1:3" ht="15.45">
      <c r="A6" s="147" t="s">
        <v>181</v>
      </c>
      <c r="B6" s="148" t="s">
        <v>153</v>
      </c>
      <c r="C6" s="149" t="s">
        <v>100</v>
      </c>
    </row>
    <row r="7" spans="1:3" ht="15.45">
      <c r="A7" s="150" t="s">
        <v>182</v>
      </c>
      <c r="B7" s="151" t="s">
        <v>175</v>
      </c>
      <c r="C7" s="149" t="s">
        <v>103</v>
      </c>
    </row>
    <row r="8" spans="1:3" ht="15.45">
      <c r="A8" s="150" t="s">
        <v>183</v>
      </c>
      <c r="B8" s="152" t="s">
        <v>173</v>
      </c>
      <c r="C8" s="149" t="s">
        <v>107</v>
      </c>
    </row>
    <row r="9" spans="1:3" ht="15.45">
      <c r="A9" s="150" t="s">
        <v>184</v>
      </c>
      <c r="B9" s="151" t="s">
        <v>156</v>
      </c>
      <c r="C9" s="149" t="s">
        <v>107</v>
      </c>
    </row>
    <row r="10" spans="1:3" ht="15.45">
      <c r="A10" s="150" t="s">
        <v>185</v>
      </c>
      <c r="B10" s="151" t="s">
        <v>186</v>
      </c>
      <c r="C10" s="149" t="s">
        <v>100</v>
      </c>
    </row>
    <row r="11" spans="1:3" ht="15.45">
      <c r="A11" s="150" t="s">
        <v>187</v>
      </c>
      <c r="B11" s="151" t="s">
        <v>174</v>
      </c>
      <c r="C11" s="149" t="s">
        <v>107</v>
      </c>
    </row>
    <row r="12" spans="1:3" ht="15.45">
      <c r="A12" s="150" t="s">
        <v>188</v>
      </c>
      <c r="B12" s="151" t="s">
        <v>189</v>
      </c>
      <c r="C12" s="149" t="s">
        <v>103</v>
      </c>
    </row>
    <row r="13" spans="1:3" ht="15.45">
      <c r="A13" s="150" t="s">
        <v>190</v>
      </c>
      <c r="B13" s="152" t="s">
        <v>165</v>
      </c>
      <c r="C13" s="149" t="s">
        <v>100</v>
      </c>
    </row>
    <row r="14" spans="1:3" ht="15.45">
      <c r="A14" s="150" t="s">
        <v>191</v>
      </c>
      <c r="B14" s="151" t="s">
        <v>160</v>
      </c>
      <c r="C14" s="149" t="s">
        <v>103</v>
      </c>
    </row>
    <row r="15" spans="1:3" ht="15.45">
      <c r="A15" s="150" t="s">
        <v>192</v>
      </c>
      <c r="B15" s="151" t="s">
        <v>170</v>
      </c>
      <c r="C15" s="149" t="s">
        <v>103</v>
      </c>
    </row>
    <row r="16" spans="1:3" ht="15.45">
      <c r="A16" s="150" t="s">
        <v>193</v>
      </c>
      <c r="B16" s="151" t="s">
        <v>194</v>
      </c>
      <c r="C16" s="149" t="s">
        <v>103</v>
      </c>
    </row>
    <row r="17" spans="1:3" ht="15.45">
      <c r="A17" s="150" t="s">
        <v>195</v>
      </c>
      <c r="B17" s="151" t="s">
        <v>196</v>
      </c>
      <c r="C17" s="149" t="s">
        <v>103</v>
      </c>
    </row>
    <row r="18" spans="1:3" ht="15.45">
      <c r="A18" s="150" t="s">
        <v>197</v>
      </c>
      <c r="B18" s="152" t="s">
        <v>198</v>
      </c>
      <c r="C18" s="149" t="s">
        <v>103</v>
      </c>
    </row>
    <row r="19" spans="1:3" ht="15.45">
      <c r="A19" s="150" t="s">
        <v>199</v>
      </c>
      <c r="B19" s="152" t="s">
        <v>200</v>
      </c>
      <c r="C19" s="149" t="s">
        <v>107</v>
      </c>
    </row>
    <row r="20" spans="1:3" ht="15.45">
      <c r="A20" s="150" t="s">
        <v>201</v>
      </c>
      <c r="B20" s="151" t="s">
        <v>202</v>
      </c>
      <c r="C20" s="149" t="s">
        <v>100</v>
      </c>
    </row>
    <row r="21" spans="1:3" ht="15.45">
      <c r="A21" s="150" t="s">
        <v>203</v>
      </c>
      <c r="B21" s="151" t="s">
        <v>152</v>
      </c>
      <c r="C21" s="149" t="s">
        <v>100</v>
      </c>
    </row>
    <row r="22" spans="1:3" ht="15.45">
      <c r="A22" s="150" t="s">
        <v>204</v>
      </c>
      <c r="B22" s="152" t="s">
        <v>155</v>
      </c>
      <c r="C22" s="149" t="s">
        <v>103</v>
      </c>
    </row>
    <row r="23" spans="1:3" ht="15.45">
      <c r="A23" s="150" t="s">
        <v>205</v>
      </c>
      <c r="B23" s="152" t="s">
        <v>171</v>
      </c>
      <c r="C23" s="149" t="s">
        <v>107</v>
      </c>
    </row>
    <row r="24" spans="1:3" ht="15.45">
      <c r="A24" s="150" t="s">
        <v>206</v>
      </c>
      <c r="B24" s="151" t="s">
        <v>167</v>
      </c>
      <c r="C24" s="149" t="s">
        <v>107</v>
      </c>
    </row>
    <row r="25" spans="1:3" ht="15.45">
      <c r="A25" s="150" t="s">
        <v>207</v>
      </c>
      <c r="B25" s="151" t="s">
        <v>169</v>
      </c>
      <c r="C25" s="149" t="s">
        <v>103</v>
      </c>
    </row>
    <row r="26" spans="1:3" ht="15.45">
      <c r="A26" s="150" t="s">
        <v>208</v>
      </c>
      <c r="B26" s="151" t="s">
        <v>159</v>
      </c>
      <c r="C26" s="149" t="s">
        <v>103</v>
      </c>
    </row>
    <row r="27" spans="1:3" ht="15.45">
      <c r="A27" s="150" t="s">
        <v>209</v>
      </c>
      <c r="B27" s="152" t="s">
        <v>154</v>
      </c>
      <c r="C27" s="149" t="s">
        <v>103</v>
      </c>
    </row>
    <row r="28" spans="1:3" ht="15.45">
      <c r="A28" s="150" t="s">
        <v>210</v>
      </c>
      <c r="B28" s="151" t="s">
        <v>161</v>
      </c>
      <c r="C28" s="149" t="s">
        <v>103</v>
      </c>
    </row>
    <row r="29" spans="1:3" ht="15.45">
      <c r="A29" s="150" t="s">
        <v>211</v>
      </c>
      <c r="B29" s="151" t="s">
        <v>212</v>
      </c>
      <c r="C29" s="149" t="s">
        <v>107</v>
      </c>
    </row>
    <row r="30" spans="1:3" ht="15.45">
      <c r="A30" s="150" t="s">
        <v>213</v>
      </c>
      <c r="B30" s="151" t="s">
        <v>214</v>
      </c>
      <c r="C30" s="149" t="s">
        <v>100</v>
      </c>
    </row>
    <row r="31" spans="1:3" ht="15.45">
      <c r="A31" s="150" t="s">
        <v>215</v>
      </c>
      <c r="B31" s="151" t="s">
        <v>216</v>
      </c>
      <c r="C31" s="149" t="s">
        <v>103</v>
      </c>
    </row>
    <row r="32" spans="1:3" ht="15.45">
      <c r="A32" s="153" t="s">
        <v>217</v>
      </c>
      <c r="B32" s="154" t="s">
        <v>218</v>
      </c>
      <c r="C32" s="149" t="s">
        <v>107</v>
      </c>
    </row>
    <row r="33" spans="1:3" ht="15.45">
      <c r="A33" s="153" t="s">
        <v>219</v>
      </c>
      <c r="B33" s="154" t="s">
        <v>220</v>
      </c>
      <c r="C33" s="149" t="s">
        <v>107</v>
      </c>
    </row>
    <row r="34" spans="1:3" ht="15.45">
      <c r="A34" s="153" t="s">
        <v>221</v>
      </c>
      <c r="B34" s="154" t="s">
        <v>222</v>
      </c>
      <c r="C34" s="149" t="s">
        <v>100</v>
      </c>
    </row>
    <row r="35" spans="1:3" ht="15.45">
      <c r="A35" s="153" t="s">
        <v>223</v>
      </c>
      <c r="B35" s="154" t="s">
        <v>224</v>
      </c>
      <c r="C35" s="149" t="s">
        <v>107</v>
      </c>
    </row>
    <row r="36" spans="1:3" ht="15.45">
      <c r="A36" s="153" t="s">
        <v>225</v>
      </c>
      <c r="B36" s="154" t="s">
        <v>226</v>
      </c>
      <c r="C36" s="149" t="s">
        <v>107</v>
      </c>
    </row>
    <row r="37" spans="1:3" ht="15.45">
      <c r="A37" s="153" t="s">
        <v>227</v>
      </c>
      <c r="B37" s="154" t="s">
        <v>228</v>
      </c>
      <c r="C37" s="149" t="s">
        <v>107</v>
      </c>
    </row>
    <row r="38" spans="1:3" ht="15.45">
      <c r="A38" s="153" t="s">
        <v>229</v>
      </c>
      <c r="B38" s="154" t="s">
        <v>166</v>
      </c>
      <c r="C38" s="149" t="s">
        <v>107</v>
      </c>
    </row>
    <row r="39" spans="1:3" ht="15.45">
      <c r="A39" s="153" t="s">
        <v>230</v>
      </c>
      <c r="B39" s="154" t="s">
        <v>168</v>
      </c>
      <c r="C39" s="149" t="s">
        <v>100</v>
      </c>
    </row>
    <row r="40" spans="1:3" ht="15.45">
      <c r="A40" s="153" t="s">
        <v>231</v>
      </c>
      <c r="B40" s="154" t="s">
        <v>163</v>
      </c>
      <c r="C40" s="149" t="s">
        <v>107</v>
      </c>
    </row>
    <row r="41" spans="1:3" ht="15.45">
      <c r="A41" s="153" t="s">
        <v>232</v>
      </c>
      <c r="B41" s="154" t="s">
        <v>233</v>
      </c>
      <c r="C41" s="149" t="s">
        <v>100</v>
      </c>
    </row>
    <row r="42" spans="1:3" ht="15.45">
      <c r="A42" s="153" t="s">
        <v>234</v>
      </c>
      <c r="B42" s="154" t="s">
        <v>151</v>
      </c>
      <c r="C42" s="149" t="s">
        <v>107</v>
      </c>
    </row>
    <row r="43" spans="1:3" ht="15.45">
      <c r="A43" s="153" t="s">
        <v>235</v>
      </c>
      <c r="B43" s="154" t="s">
        <v>236</v>
      </c>
      <c r="C43" s="149" t="s">
        <v>107</v>
      </c>
    </row>
    <row r="44" spans="1:3" ht="15.45">
      <c r="A44" s="153" t="s">
        <v>237</v>
      </c>
      <c r="B44" s="154" t="s">
        <v>158</v>
      </c>
      <c r="C44" s="149" t="s">
        <v>107</v>
      </c>
    </row>
    <row r="45" spans="1:3" ht="15.45">
      <c r="A45" s="153" t="s">
        <v>238</v>
      </c>
      <c r="B45" s="154" t="s">
        <v>172</v>
      </c>
      <c r="C45" s="149" t="s">
        <v>100</v>
      </c>
    </row>
    <row r="46" spans="1:3" ht="15.45">
      <c r="A46" s="153" t="s">
        <v>239</v>
      </c>
      <c r="B46" s="154" t="s">
        <v>162</v>
      </c>
      <c r="C46" s="149" t="s">
        <v>107</v>
      </c>
    </row>
    <row r="47" spans="1:3" ht="15.45">
      <c r="A47" s="153" t="s">
        <v>240</v>
      </c>
      <c r="B47" s="154" t="s">
        <v>150</v>
      </c>
      <c r="C47" s="149" t="s">
        <v>107</v>
      </c>
    </row>
    <row r="48" spans="1:3" ht="15.45">
      <c r="A48" s="153" t="s">
        <v>241</v>
      </c>
      <c r="B48" s="154" t="s">
        <v>242</v>
      </c>
      <c r="C48" s="149" t="s">
        <v>107</v>
      </c>
    </row>
    <row r="49" spans="1:3" ht="15.45">
      <c r="A49" s="153" t="s">
        <v>243</v>
      </c>
      <c r="B49" s="154" t="s">
        <v>164</v>
      </c>
      <c r="C49" s="149" t="s">
        <v>100</v>
      </c>
    </row>
    <row r="50" spans="1:3" ht="15.45">
      <c r="A50" s="153" t="s">
        <v>244</v>
      </c>
      <c r="B50" s="154" t="s">
        <v>157</v>
      </c>
      <c r="C50" s="149" t="s">
        <v>100</v>
      </c>
    </row>
    <row r="51" spans="1:3" ht="15.45">
      <c r="A51" s="153" t="s">
        <v>328</v>
      </c>
      <c r="B51" s="154" t="s">
        <v>329</v>
      </c>
      <c r="C51" s="149" t="s">
        <v>107</v>
      </c>
    </row>
    <row r="52" spans="1:3" ht="15.45">
      <c r="A52" s="153" t="s">
        <v>330</v>
      </c>
      <c r="B52" s="154" t="s">
        <v>331</v>
      </c>
      <c r="C52" s="149" t="s">
        <v>107</v>
      </c>
    </row>
    <row r="53" spans="1:3" ht="15.45">
      <c r="A53" s="153" t="s">
        <v>332</v>
      </c>
      <c r="B53" s="154" t="s">
        <v>333</v>
      </c>
      <c r="C53" s="149"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2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9</v>
      </c>
      <c r="B1" s="72" t="s">
        <v>113</v>
      </c>
      <c r="C1" s="72" t="s">
        <v>90</v>
      </c>
      <c r="D1" s="73"/>
      <c r="E1" s="71"/>
      <c r="F1">
        <f>VLOOKUP(A1,'Hra 2P'!I8:J198,2,0)</f>
        <v>56</v>
      </c>
      <c r="L1">
        <f ca="1">IF(TRIM(B3)="-",0,1) + IF(TRIM(B4)="-",0,1) + IF(TRIM(B5)="-",0,1) + IF(TRIM(B6)="-",0,1)</f>
        <v>4</v>
      </c>
      <c r="R1">
        <f ca="1">INDIRECT(ADDRESS(4,A1,1,1,"Hřiště"))</f>
        <v>12</v>
      </c>
      <c r="S1">
        <f ca="1">INDIRECT(ADDRESS(5,A1,1,1,"Hřiště"))</f>
        <v>13</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9 Carreau Brno - Dudašková Michaela</v>
      </c>
      <c r="C3" s="71"/>
      <c r="D3" s="71"/>
      <c r="E3" s="71"/>
    </row>
    <row r="4" spans="1:20" ht="18.45">
      <c r="A4" s="71">
        <v>2</v>
      </c>
      <c r="B4" s="43" t="str">
        <f ca="1">IF(TYPE(VLOOKUP(CONCATENATE($C$1,A4),Skupiny!$A$3:$B$130,2,0))&gt;4," - ",VLOOKUP(CONCATENATE($C$1,A4),Skupiny!$A$3:$B$130,2,0))</f>
        <v>24 SPORT Kolín - Šternberg Martin</v>
      </c>
      <c r="C4" s="71"/>
      <c r="D4" s="71"/>
      <c r="E4" s="71"/>
    </row>
    <row r="5" spans="1:20" ht="18.45">
      <c r="A5" s="71">
        <v>3</v>
      </c>
      <c r="B5" s="43" t="str">
        <f ca="1">IF(TYPE(VLOOKUP(CONCATENATE($C$1,A5),Skupiny!$A$3:$B$130,2,0))&gt;4," - ",VLOOKUP(CONCATENATE($C$1,A5),Skupiny!$A$3:$B$130,2,0))</f>
        <v>41 PC Sokol PP Hr. Králové - Melgr Jan</v>
      </c>
      <c r="C5" s="71"/>
      <c r="D5" s="71"/>
      <c r="E5" s="71"/>
    </row>
    <row r="6" spans="1:20" ht="18.45">
      <c r="A6" s="71">
        <v>4</v>
      </c>
      <c r="B6" s="43" t="str">
        <f ca="1">IF(TYPE(VLOOKUP(CONCATENATE($C$1,A6),Skupiny!$A$3:$B$130,2,0))&gt;4," - ",VLOOKUP(CONCATENATE($C$1,A6),Skupiny!$A$3:$B$130,2,0))</f>
        <v>56 PSK Jihlava - Dyba Daniel</v>
      </c>
      <c r="C6" s="71"/>
      <c r="D6" s="71"/>
      <c r="E6" s="71"/>
    </row>
    <row r="7" spans="1:20" ht="36.65" customHeight="1">
      <c r="A7" s="71"/>
      <c r="B7" s="71" t="s">
        <v>50</v>
      </c>
      <c r="C7" s="74" t="s">
        <v>51</v>
      </c>
      <c r="D7" s="71" t="s">
        <v>51</v>
      </c>
      <c r="E7" s="71"/>
    </row>
    <row r="8" spans="1:20" ht="18.45">
      <c r="A8" s="71"/>
      <c r="B8" s="43" t="str">
        <f ca="1">B3</f>
        <v>9 Carreau Brno - Dudašková Michaela</v>
      </c>
      <c r="C8" s="75">
        <f>IF(('Hra 2P'!E56=""),"",'Hra 2P'!E56)</f>
        <v>13</v>
      </c>
      <c r="D8" s="75">
        <f>IF(('Hra 2P'!F56=""),"",'Hra 2P'!F56)</f>
        <v>10</v>
      </c>
      <c r="E8" s="43" t="str">
        <f ca="1">B6</f>
        <v>56 PSK Jihlava - Dyba Daniel</v>
      </c>
    </row>
    <row r="9" spans="1:20" ht="18.45">
      <c r="A9" s="71"/>
      <c r="B9" s="43" t="str">
        <f ca="1">B4</f>
        <v>24 SPORT Kolín - Šternberg Martin</v>
      </c>
      <c r="C9" s="75">
        <f>IF(('Hra 2P'!E57=""),"",'Hra 2P'!E57)</f>
        <v>8</v>
      </c>
      <c r="D9" s="75">
        <f>IF(('Hra 2P'!F57=""),"",'Hra 2P'!F57)</f>
        <v>13</v>
      </c>
      <c r="E9" s="43" t="str">
        <f ca="1">B5</f>
        <v>41 PC Sokol PP Hr. Králové - Melgr Jan</v>
      </c>
    </row>
    <row r="10" spans="1:20" ht="18.45">
      <c r="A10" s="76" t="s">
        <v>46</v>
      </c>
      <c r="B10" s="43" t="str">
        <f ca="1">IF(TRIM(E8)="-",B8,IF(AND(C8="",D8="")," ",IF(N(C8)&gt;N(D8),B8,E8)))</f>
        <v>9 Carreau Brno - Dudašková Michaela</v>
      </c>
      <c r="C10" s="75">
        <f>IF(('Hra 2P'!E58=""),"",'Hra 2P'!E58)</f>
        <v>8</v>
      </c>
      <c r="D10" s="75">
        <f>IF(('Hra 2P'!F58=""),"",'Hra 2P'!F58)</f>
        <v>13</v>
      </c>
      <c r="E10" s="43" t="str">
        <f ca="1">IF(AND(C9="",D9="")," ",IF(N(C9)&gt;N(D9),B9,E9))</f>
        <v>41 PC Sokol PP Hr. Králové - Melgr Jan</v>
      </c>
    </row>
    <row r="11" spans="1:20" ht="18.45">
      <c r="A11" s="76" t="s">
        <v>47</v>
      </c>
      <c r="B11" s="43" t="str">
        <f ca="1">IF(TRIM(E8)="-",E8,IF(AND(C8="",D8="")," ",IF(N(C8)&gt;N(D8),E8,B8)))</f>
        <v>56 PSK Jihlava - Dyba Daniel</v>
      </c>
      <c r="C11" s="75">
        <f>IF(('Hra 2P'!E59=""),"",'Hra 2P'!E59)</f>
        <v>3</v>
      </c>
      <c r="D11" s="75">
        <f>IF(('Hra 2P'!F59=""),"",'Hra 2P'!F59)</f>
        <v>13</v>
      </c>
      <c r="E11" s="43" t="str">
        <f ca="1">IF(TRIM(E9)="",E9,IF(AND(C9="",D9="")," ",IF(N(C9)&gt;N(D9),E9,B9)))</f>
        <v>24 SPORT Kolín - Šternberg Martin</v>
      </c>
    </row>
    <row r="12" spans="1:20" ht="18.45">
      <c r="A12" s="76" t="s">
        <v>48</v>
      </c>
      <c r="B12" s="43" t="str">
        <f ca="1">IF(TRIM(E10)="",E10,IF(AND(C10="",D10="")," ",IF(N(C10)&gt;N(D10),E10,B10)))</f>
        <v>9 Carreau Brno - Dudašková Michaela</v>
      </c>
      <c r="C12" s="75">
        <f>IF(('Hra 2P'!E60=""),"",'Hra 2P'!E60)</f>
        <v>12</v>
      </c>
      <c r="D12" s="75">
        <f>IF(('Hra 2P'!F60=""),"",'Hra 2P'!F60)</f>
        <v>13</v>
      </c>
      <c r="E12" s="43" t="str">
        <f ca="1">IF(AND(TRIM(B11)="",TRIM(E8)=""),E11,IF(AND(C11="",D11="")," ",IF(N(C11)&gt;N(D11),B11,E11)))</f>
        <v>24 SPORT Kolín - Šternberg Martin</v>
      </c>
    </row>
    <row r="13" spans="1:20" ht="37.200000000000003" customHeight="1">
      <c r="A13" s="71"/>
      <c r="B13" s="77" t="s">
        <v>52</v>
      </c>
      <c r="C13" s="78" t="s">
        <v>116</v>
      </c>
      <c r="D13" s="71"/>
      <c r="E13" s="71"/>
    </row>
    <row r="14" spans="1:20" ht="18.45">
      <c r="A14" s="71" t="s">
        <v>31</v>
      </c>
      <c r="B14" s="43" t="str">
        <f ca="1">IF(N(C10)+N(D10)&gt;0,IF(N(C10)&gt;N(D10),B10,E10),"")</f>
        <v>41 PC Sokol PP Hr. Králové - Melgr Jan</v>
      </c>
      <c r="C14" s="74" t="str">
        <f>CONCATENATE($C$1,A3)</f>
        <v>I1</v>
      </c>
      <c r="D14" s="71"/>
      <c r="E14" s="71"/>
    </row>
    <row r="15" spans="1:20" ht="18.45">
      <c r="A15" s="71" t="s">
        <v>32</v>
      </c>
      <c r="B15" s="43" t="str">
        <f ca="1">IF(N(C12)+N(D12)&gt;0,IF(N(C12)&gt;N(D12),B12,E12),"")</f>
        <v>24 SPORT Kolín - Šternberg Martin</v>
      </c>
      <c r="C15" s="74" t="str">
        <f>CONCATENATE($C$1,A4)</f>
        <v>I2</v>
      </c>
      <c r="D15" s="71"/>
      <c r="E15" s="71"/>
    </row>
    <row r="16" spans="1:20" ht="18.45">
      <c r="A16" s="71" t="s">
        <v>33</v>
      </c>
      <c r="B16" s="43" t="str">
        <f ca="1">IF(N(C12)+N(D12)&gt;0,IF(N(C12)&gt;N(D12),E12,B12),"")</f>
        <v>9 Carreau Brno - Dudašková Michaela</v>
      </c>
      <c r="C16" s="74" t="str">
        <f>CONCATENATE($C$1,A5)</f>
        <v>I3</v>
      </c>
      <c r="D16" s="71"/>
      <c r="E16" s="71"/>
    </row>
    <row r="17" spans="1:5" ht="18.45">
      <c r="A17" s="71" t="s">
        <v>34</v>
      </c>
      <c r="B17" s="79" t="str">
        <f ca="1">IF(N(C11)+N(D11)&gt;0,IF(N(C11)&gt;N(D11),E11,B11),"")</f>
        <v>56 PSK Jihlava - Dyba Daniel</v>
      </c>
      <c r="C17" s="74" t="str">
        <f>CONCATENATE($C$1,A6)</f>
        <v>I4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2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10</v>
      </c>
      <c r="B1" s="72" t="s">
        <v>113</v>
      </c>
      <c r="C1" s="72" t="s">
        <v>91</v>
      </c>
      <c r="D1" s="73"/>
      <c r="E1" s="71"/>
      <c r="F1">
        <f>VLOOKUP(A1,'Hra 2P'!I8:J198,2,0)</f>
        <v>62</v>
      </c>
      <c r="L1">
        <f ca="1">IF(TRIM(B3)="-",0,1) + IF(TRIM(B4)="-",0,1) + IF(TRIM(B5)="-",0,1) + IF(TRIM(B6)="-",0,1)</f>
        <v>4</v>
      </c>
      <c r="R1">
        <f ca="1">INDIRECT(ADDRESS(4,A1,1,1,"Hřiště"))</f>
        <v>14</v>
      </c>
      <c r="S1">
        <f ca="1">INDIRECT(ADDRESS(5,A1,1,1,"Hřiště"))</f>
        <v>15</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10 SKP Hranice VI-Valšovice - Kutá Miloslava</v>
      </c>
      <c r="C3" s="71"/>
      <c r="D3" s="71"/>
      <c r="E3" s="71"/>
    </row>
    <row r="4" spans="1:20" ht="18.45">
      <c r="A4" s="71">
        <v>2</v>
      </c>
      <c r="B4" s="43" t="str">
        <f ca="1">IF(TYPE(VLOOKUP(CONCATENATE($C$1,A4),Skupiny!$A$3:$B$130,2,0))&gt;4," - ",VLOOKUP(CONCATENATE($C$1,A4),Skupiny!$A$3:$B$130,2,0))</f>
        <v>23 PLUK Jablonec - Lukáš Petr</v>
      </c>
      <c r="C4" s="71"/>
      <c r="D4" s="71"/>
      <c r="E4" s="71"/>
    </row>
    <row r="5" spans="1:20" ht="18.45">
      <c r="A5" s="71">
        <v>3</v>
      </c>
      <c r="B5" s="43" t="str">
        <f ca="1">IF(TYPE(VLOOKUP(CONCATENATE($C$1,A5),Skupiny!$A$3:$B$130,2,0))&gt;4," - ",VLOOKUP(CONCATENATE($C$1,A5),Skupiny!$A$3:$B$130,2,0))</f>
        <v>42 SK Sahara Vědomice - Piller Tomáš</v>
      </c>
      <c r="C5" s="71"/>
      <c r="D5" s="71"/>
      <c r="E5" s="71"/>
    </row>
    <row r="6" spans="1:20" ht="18.45">
      <c r="A6" s="71">
        <v>4</v>
      </c>
      <c r="B6" s="43" t="str">
        <f ca="1">IF(TYPE(VLOOKUP(CONCATENATE($C$1,A6),Skupiny!$A$3:$B$130,2,0))&gt;4," - ",VLOOKUP(CONCATENATE($C$1,A6),Skupiny!$A$3:$B$130,2,0))</f>
        <v>55 BePeC 2016 - Horák Libor</v>
      </c>
      <c r="C6" s="71"/>
      <c r="D6" s="71"/>
      <c r="E6" s="71"/>
    </row>
    <row r="7" spans="1:20" ht="36.65" customHeight="1">
      <c r="A7" s="71"/>
      <c r="B7" s="71" t="s">
        <v>50</v>
      </c>
      <c r="C7" s="74" t="s">
        <v>51</v>
      </c>
      <c r="D7" s="71" t="s">
        <v>51</v>
      </c>
      <c r="E7" s="71"/>
    </row>
    <row r="8" spans="1:20" ht="18.45">
      <c r="A8" s="71"/>
      <c r="B8" s="43" t="str">
        <f ca="1">B3</f>
        <v>10 SKP Hranice VI-Valšovice - Kutá Miloslava</v>
      </c>
      <c r="C8" s="75">
        <f>IF(('Hra 2P'!E62=""),"",'Hra 2P'!E62)</f>
        <v>13</v>
      </c>
      <c r="D8" s="75">
        <f>IF(('Hra 2P'!F62=""),"",'Hra 2P'!F62)</f>
        <v>1</v>
      </c>
      <c r="E8" s="43" t="str">
        <f ca="1">B6</f>
        <v>55 BePeC 2016 - Horák Libor</v>
      </c>
    </row>
    <row r="9" spans="1:20" ht="18.45">
      <c r="A9" s="71"/>
      <c r="B9" s="43" t="str">
        <f ca="1">B4</f>
        <v>23 PLUK Jablonec - Lukáš Petr</v>
      </c>
      <c r="C9" s="75">
        <f>IF(('Hra 2P'!E63=""),"",'Hra 2P'!E63)</f>
        <v>13</v>
      </c>
      <c r="D9" s="75">
        <f>IF(('Hra 2P'!F63=""),"",'Hra 2P'!F63)</f>
        <v>0</v>
      </c>
      <c r="E9" s="43" t="str">
        <f ca="1">B5</f>
        <v>42 SK Sahara Vědomice - Piller Tomáš</v>
      </c>
    </row>
    <row r="10" spans="1:20" ht="18.45">
      <c r="A10" s="76" t="s">
        <v>46</v>
      </c>
      <c r="B10" s="43" t="str">
        <f ca="1">IF(TRIM(E8)="-",B8,IF(AND(C8="",D8="")," ",IF(N(C8)&gt;N(D8),B8,E8)))</f>
        <v>10 SKP Hranice VI-Valšovice - Kutá Miloslava</v>
      </c>
      <c r="C10" s="75">
        <f>IF(('Hra 2P'!E64=""),"",'Hra 2P'!E64)</f>
        <v>9</v>
      </c>
      <c r="D10" s="75">
        <f>IF(('Hra 2P'!F64=""),"",'Hra 2P'!F64)</f>
        <v>13</v>
      </c>
      <c r="E10" s="43" t="str">
        <f ca="1">IF(AND(C9="",D9="")," ",IF(N(C9)&gt;N(D9),B9,E9))</f>
        <v>23 PLUK Jablonec - Lukáš Petr</v>
      </c>
    </row>
    <row r="11" spans="1:20" ht="18.45">
      <c r="A11" s="76" t="s">
        <v>47</v>
      </c>
      <c r="B11" s="43" t="str">
        <f ca="1">IF(TRIM(E8)="-",E8,IF(AND(C8="",D8="")," ",IF(N(C8)&gt;N(D8),E8,B8)))</f>
        <v>55 BePeC 2016 - Horák Libor</v>
      </c>
      <c r="C11" s="75">
        <f>IF(('Hra 2P'!E65=""),"",'Hra 2P'!E65)</f>
        <v>1</v>
      </c>
      <c r="D11" s="75">
        <f>IF(('Hra 2P'!F65=""),"",'Hra 2P'!F65)</f>
        <v>13</v>
      </c>
      <c r="E11" s="43" t="str">
        <f ca="1">IF(TRIM(E9)="",E9,IF(AND(C9="",D9="")," ",IF(N(C9)&gt;N(D9),E9,B9)))</f>
        <v>42 SK Sahara Vědomice - Piller Tomáš</v>
      </c>
    </row>
    <row r="12" spans="1:20" ht="18.45">
      <c r="A12" s="76" t="s">
        <v>48</v>
      </c>
      <c r="B12" s="43" t="str">
        <f ca="1">IF(TRIM(E10)="",E10,IF(AND(C10="",D10="")," ",IF(N(C10)&gt;N(D10),E10,B10)))</f>
        <v>10 SKP Hranice VI-Valšovice - Kutá Miloslava</v>
      </c>
      <c r="C12" s="75">
        <f>IF(('Hra 2P'!E66=""),"",'Hra 2P'!E66)</f>
        <v>2</v>
      </c>
      <c r="D12" s="75">
        <f>IF(('Hra 2P'!F66=""),"",'Hra 2P'!F66)</f>
        <v>13</v>
      </c>
      <c r="E12" s="43" t="str">
        <f ca="1">IF(AND(TRIM(B11)="",TRIM(E8)=""),E11,IF(AND(C11="",D11="")," ",IF(N(C11)&gt;N(D11),B11,E11)))</f>
        <v>42 SK Sahara Vědomice - Piller Tomáš</v>
      </c>
    </row>
    <row r="13" spans="1:20" ht="37.200000000000003" customHeight="1">
      <c r="A13" s="71"/>
      <c r="B13" s="77" t="s">
        <v>52</v>
      </c>
      <c r="C13" s="78" t="s">
        <v>116</v>
      </c>
      <c r="D13" s="71"/>
      <c r="E13" s="71"/>
    </row>
    <row r="14" spans="1:20" ht="18.45">
      <c r="A14" s="71" t="s">
        <v>31</v>
      </c>
      <c r="B14" s="43" t="str">
        <f ca="1">IF(N(C10)+N(D10)&gt;0,IF(N(C10)&gt;N(D10),B10,E10),"")</f>
        <v>23 PLUK Jablonec - Lukáš Petr</v>
      </c>
      <c r="C14" s="74" t="str">
        <f>CONCATENATE($C$1,A3)</f>
        <v>J1</v>
      </c>
      <c r="D14" s="71"/>
      <c r="E14" s="71"/>
    </row>
    <row r="15" spans="1:20" ht="18.45">
      <c r="A15" s="71" t="s">
        <v>32</v>
      </c>
      <c r="B15" s="43" t="str">
        <f ca="1">IF(N(C12)+N(D12)&gt;0,IF(N(C12)&gt;N(D12),B12,E12),"")</f>
        <v>42 SK Sahara Vědomice - Piller Tomáš</v>
      </c>
      <c r="C15" s="74" t="str">
        <f>CONCATENATE($C$1,A4)</f>
        <v>J2</v>
      </c>
      <c r="D15" s="71"/>
      <c r="E15" s="71"/>
    </row>
    <row r="16" spans="1:20" ht="18.45">
      <c r="A16" s="71" t="s">
        <v>33</v>
      </c>
      <c r="B16" s="43" t="str">
        <f ca="1">IF(N(C12)+N(D12)&gt;0,IF(N(C12)&gt;N(D12),E12,B12),"")</f>
        <v>10 SKP Hranice VI-Valšovice - Kutá Miloslava</v>
      </c>
      <c r="C16" s="74" t="str">
        <f>CONCATENATE($C$1,A5)</f>
        <v>J3</v>
      </c>
      <c r="D16" s="71"/>
      <c r="E16" s="71"/>
    </row>
    <row r="17" spans="1:5" ht="18.45">
      <c r="A17" s="71" t="s">
        <v>34</v>
      </c>
      <c r="B17" s="79" t="str">
        <f ca="1">IF(N(C11)+N(D11)&gt;0,IF(N(C11)&gt;N(D11),E11,B11),"")</f>
        <v>55 BePeC 2016 - Horák Libor</v>
      </c>
      <c r="C17" s="74" t="str">
        <f>CONCATENATE($C$1,A6)</f>
        <v>J4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11</v>
      </c>
      <c r="B1" s="72" t="s">
        <v>113</v>
      </c>
      <c r="C1" s="72" t="s">
        <v>92</v>
      </c>
      <c r="D1" s="73"/>
      <c r="E1" s="71"/>
      <c r="F1">
        <f>VLOOKUP(A1,'Hra 2P'!I8:J198,2,0)</f>
        <v>68</v>
      </c>
      <c r="L1">
        <f ca="1">IF(TRIM(B3)="-",0,1) + IF(TRIM(B4)="-",0,1) + IF(TRIM(B5)="-",0,1) + IF(TRIM(B6)="-",0,1)</f>
        <v>4</v>
      </c>
      <c r="R1">
        <f ca="1">INDIRECT(ADDRESS(4,A1,1,1,"Hřiště"))</f>
        <v>16</v>
      </c>
      <c r="S1">
        <f ca="1">INDIRECT(ADDRESS(5,A1,1,1,"Hřiště"))</f>
        <v>17</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11 PC Damníkov - Brandes Michael</v>
      </c>
      <c r="C3" s="71"/>
      <c r="D3" s="71"/>
      <c r="E3" s="71"/>
    </row>
    <row r="4" spans="1:20" ht="18.45">
      <c r="A4" s="71">
        <v>2</v>
      </c>
      <c r="B4" s="43" t="str">
        <f ca="1">IF(TYPE(VLOOKUP(CONCATENATE($C$1,A4),Skupiny!$A$3:$B$130,2,0))&gt;4," - ",VLOOKUP(CONCATENATE($C$1,A4),Skupiny!$A$3:$B$130,2,0))</f>
        <v>22 SK Sahara Vědomice - Sekerešová Jindřiška</v>
      </c>
      <c r="C4" s="71"/>
      <c r="D4" s="71"/>
      <c r="E4" s="71"/>
    </row>
    <row r="5" spans="1:20" ht="18.45">
      <c r="A5" s="71">
        <v>3</v>
      </c>
      <c r="B5" s="43" t="str">
        <f ca="1">IF(TYPE(VLOOKUP(CONCATENATE($C$1,A5),Skupiny!$A$3:$B$130,2,0))&gt;4," - ",VLOOKUP(CONCATENATE($C$1,A5),Skupiny!$A$3:$B$130,2,0))</f>
        <v>43 SK Pétanque Řepy - Vodehnalová Jindra</v>
      </c>
      <c r="C5" s="71"/>
      <c r="D5" s="71"/>
      <c r="E5" s="71"/>
    </row>
    <row r="6" spans="1:20" ht="18.45">
      <c r="A6" s="71">
        <v>4</v>
      </c>
      <c r="B6" s="43" t="str">
        <f ca="1">IF(TYPE(VLOOKUP(CONCATENATE($C$1,A6),Skupiny!$A$3:$B$130,2,0))&gt;4," - ",VLOOKUP(CONCATENATE($C$1,A6),Skupiny!$A$3:$B$130,2,0))</f>
        <v>54 PO Chotěboř - Holenda Milan</v>
      </c>
      <c r="C6" s="71"/>
      <c r="D6" s="71"/>
      <c r="E6" s="71"/>
    </row>
    <row r="7" spans="1:20" ht="36.65" customHeight="1">
      <c r="A7" s="71"/>
      <c r="B7" s="71" t="s">
        <v>50</v>
      </c>
      <c r="C7" s="74" t="s">
        <v>51</v>
      </c>
      <c r="D7" s="71" t="s">
        <v>51</v>
      </c>
      <c r="E7" s="71"/>
    </row>
    <row r="8" spans="1:20" ht="18.45">
      <c r="A8" s="71"/>
      <c r="B8" s="43" t="str">
        <f ca="1">B3</f>
        <v>11 PC Damníkov - Brandes Michael</v>
      </c>
      <c r="C8" s="75">
        <f>IF(('Hra 2P'!E68=""),"",'Hra 2P'!E68)</f>
        <v>13</v>
      </c>
      <c r="D8" s="75">
        <f>IF(('Hra 2P'!F68=""),"",'Hra 2P'!F68)</f>
        <v>5</v>
      </c>
      <c r="E8" s="43" t="str">
        <f ca="1">B6</f>
        <v>54 PO Chotěboř - Holenda Milan</v>
      </c>
    </row>
    <row r="9" spans="1:20" ht="18.45">
      <c r="A9" s="71"/>
      <c r="B9" s="43" t="str">
        <f ca="1">B4</f>
        <v>22 SK Sahara Vědomice - Sekerešová Jindřiška</v>
      </c>
      <c r="C9" s="75">
        <f>IF(('Hra 2P'!E69=""),"",'Hra 2P'!E69)</f>
        <v>13</v>
      </c>
      <c r="D9" s="75">
        <f>IF(('Hra 2P'!F69=""),"",'Hra 2P'!F69)</f>
        <v>7</v>
      </c>
      <c r="E9" s="43" t="str">
        <f ca="1">B5</f>
        <v>43 SK Pétanque Řepy - Vodehnalová Jindra</v>
      </c>
    </row>
    <row r="10" spans="1:20" ht="18.45">
      <c r="A10" s="76" t="s">
        <v>46</v>
      </c>
      <c r="B10" s="43" t="str">
        <f ca="1">IF(TRIM(E8)="-",B8,IF(AND(C8="",D8="")," ",IF(N(C8)&gt;N(D8),B8,E8)))</f>
        <v>11 PC Damníkov - Brandes Michael</v>
      </c>
      <c r="C10" s="75">
        <f>IF(('Hra 2P'!E70=""),"",'Hra 2P'!E70)</f>
        <v>13</v>
      </c>
      <c r="D10" s="75">
        <f>IF(('Hra 2P'!F70=""),"",'Hra 2P'!F70)</f>
        <v>8</v>
      </c>
      <c r="E10" s="43" t="str">
        <f ca="1">IF(AND(C9="",D9="")," ",IF(N(C9)&gt;N(D9),B9,E9))</f>
        <v>22 SK Sahara Vědomice - Sekerešová Jindřiška</v>
      </c>
    </row>
    <row r="11" spans="1:20" ht="18.45">
      <c r="A11" s="76" t="s">
        <v>47</v>
      </c>
      <c r="B11" s="43" t="str">
        <f ca="1">IF(TRIM(E8)="-",E8,IF(AND(C8="",D8="")," ",IF(N(C8)&gt;N(D8),E8,B8)))</f>
        <v>54 PO Chotěboř - Holenda Milan</v>
      </c>
      <c r="C11" s="75">
        <f>IF(('Hra 2P'!E71=""),"",'Hra 2P'!E71)</f>
        <v>13</v>
      </c>
      <c r="D11" s="75">
        <f>IF(('Hra 2P'!F71=""),"",'Hra 2P'!F71)</f>
        <v>7</v>
      </c>
      <c r="E11" s="43" t="str">
        <f ca="1">IF(TRIM(E9)="",E9,IF(AND(C9="",D9="")," ",IF(N(C9)&gt;N(D9),E9,B9)))</f>
        <v>43 SK Pétanque Řepy - Vodehnalová Jindra</v>
      </c>
    </row>
    <row r="12" spans="1:20" ht="18.45">
      <c r="A12" s="76" t="s">
        <v>48</v>
      </c>
      <c r="B12" s="43" t="str">
        <f ca="1">IF(TRIM(E10)="",E10,IF(AND(C10="",D10="")," ",IF(N(C10)&gt;N(D10),E10,B10)))</f>
        <v>22 SK Sahara Vědomice - Sekerešová Jindřiška</v>
      </c>
      <c r="C12" s="75">
        <f>IF(('Hra 2P'!E72=""),"",'Hra 2P'!E72)</f>
        <v>13</v>
      </c>
      <c r="D12" s="75">
        <f>IF(('Hra 2P'!F72=""),"",'Hra 2P'!F72)</f>
        <v>12</v>
      </c>
      <c r="E12" s="43" t="str">
        <f ca="1">IF(AND(TRIM(B11)="",TRIM(E8)=""),E11,IF(AND(C11="",D11="")," ",IF(N(C11)&gt;N(D11),B11,E11)))</f>
        <v>54 PO Chotěboř - Holenda Milan</v>
      </c>
    </row>
    <row r="13" spans="1:20" ht="37.200000000000003" customHeight="1">
      <c r="A13" s="71"/>
      <c r="B13" s="77" t="s">
        <v>52</v>
      </c>
      <c r="C13" s="78" t="s">
        <v>116</v>
      </c>
      <c r="D13" s="71"/>
      <c r="E13" s="71"/>
    </row>
    <row r="14" spans="1:20" ht="18.45">
      <c r="A14" s="71" t="s">
        <v>31</v>
      </c>
      <c r="B14" s="43" t="str">
        <f ca="1">IF(N(C10)+N(D10)&gt;0,IF(N(C10)&gt;N(D10),B10,E10),"")</f>
        <v>11 PC Damníkov - Brandes Michael</v>
      </c>
      <c r="C14" s="74" t="str">
        <f>CONCATENATE($C$1,A3)</f>
        <v>K1</v>
      </c>
      <c r="D14" s="71"/>
      <c r="E14" s="71"/>
    </row>
    <row r="15" spans="1:20" ht="18.45">
      <c r="A15" s="71" t="s">
        <v>32</v>
      </c>
      <c r="B15" s="43" t="str">
        <f ca="1">IF(N(C12)+N(D12)&gt;0,IF(N(C12)&gt;N(D12),B12,E12),"")</f>
        <v>22 SK Sahara Vědomice - Sekerešová Jindřiška</v>
      </c>
      <c r="C15" s="74" t="str">
        <f>CONCATENATE($C$1,A4)</f>
        <v>K2</v>
      </c>
      <c r="D15" s="71"/>
      <c r="E15" s="71"/>
    </row>
    <row r="16" spans="1:20" ht="18.45">
      <c r="A16" s="71" t="s">
        <v>33</v>
      </c>
      <c r="B16" s="43" t="str">
        <f ca="1">IF(N(C12)+N(D12)&gt;0,IF(N(C12)&gt;N(D12),E12,B12),"")</f>
        <v>54 PO Chotěboř - Holenda Milan</v>
      </c>
      <c r="C16" s="74" t="str">
        <f>CONCATENATE($C$1,A5)</f>
        <v>K3</v>
      </c>
      <c r="D16" s="71"/>
      <c r="E16" s="71"/>
    </row>
    <row r="17" spans="1:5" ht="18.45">
      <c r="A17" s="71" t="s">
        <v>34</v>
      </c>
      <c r="B17" s="79" t="str">
        <f ca="1">IF(N(C11)+N(D11)&gt;0,IF(N(C11)&gt;N(D11),E11,B11),"")</f>
        <v>43 SK Pétanque Řepy - Vodehnalová Jindra</v>
      </c>
      <c r="C17" s="74" t="str">
        <f>CONCATENATE($C$1,A6)</f>
        <v>K4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2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12</v>
      </c>
      <c r="B1" s="72" t="s">
        <v>113</v>
      </c>
      <c r="C1" s="72" t="s">
        <v>93</v>
      </c>
      <c r="D1" s="73"/>
      <c r="E1" s="71"/>
      <c r="F1">
        <f>VLOOKUP(A1,'Hra 2P'!I8:J198,2,0)</f>
        <v>74</v>
      </c>
      <c r="L1">
        <f ca="1">IF(TRIM(B3)="-",0,1) + IF(TRIM(B4)="-",0,1) + IF(TRIM(B5)="-",0,1) + IF(TRIM(B6)="-",0,1)</f>
        <v>4</v>
      </c>
      <c r="R1">
        <f ca="1">INDIRECT(ADDRESS(4,A1,1,1,"Hřiště"))</f>
        <v>18</v>
      </c>
      <c r="S1">
        <f ca="1">INDIRECT(ADDRESS(5,A1,1,1,"Hřiště"))</f>
        <v>19</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12 Orel Řečkovice - Hanák Pavel</v>
      </c>
      <c r="C3" s="71"/>
      <c r="D3" s="71"/>
      <c r="E3" s="71"/>
    </row>
    <row r="4" spans="1:20" ht="18.45">
      <c r="A4" s="71">
        <v>2</v>
      </c>
      <c r="B4" s="43" t="str">
        <f ca="1">IF(TYPE(VLOOKUP(CONCATENATE($C$1,A4),Skupiny!$A$3:$B$130,2,0))&gt;4," - ",VLOOKUP(CONCATENATE($C$1,A4),Skupiny!$A$3:$B$130,2,0))</f>
        <v>21 Carreau Brno - Ferlay Franck</v>
      </c>
      <c r="C4" s="71"/>
      <c r="D4" s="71"/>
      <c r="E4" s="71"/>
    </row>
    <row r="5" spans="1:20" ht="18.45">
      <c r="A5" s="71">
        <v>3</v>
      </c>
      <c r="B5" s="43" t="str">
        <f ca="1">IF(TYPE(VLOOKUP(CONCATENATE($C$1,A5),Skupiny!$A$3:$B$130,2,0))&gt;4," - ",VLOOKUP(CONCATENATE($C$1,A5),Skupiny!$A$3:$B$130,2,0))</f>
        <v>44 SKP Kulová osma - Chmelař Ivo</v>
      </c>
      <c r="C5" s="71"/>
      <c r="D5" s="71"/>
      <c r="E5" s="71"/>
    </row>
    <row r="6" spans="1:20" ht="18.45">
      <c r="A6" s="71">
        <v>4</v>
      </c>
      <c r="B6" s="43" t="str">
        <f ca="1">IF(TYPE(VLOOKUP(CONCATENATE($C$1,A6),Skupiny!$A$3:$B$130,2,0))&gt;4," - ",VLOOKUP(CONCATENATE($C$1,A6),Skupiny!$A$3:$B$130,2,0))</f>
        <v>53 PC Sokol Velim - Sudoměřický Tomáš</v>
      </c>
      <c r="C6" s="71"/>
      <c r="D6" s="71"/>
      <c r="E6" s="71"/>
    </row>
    <row r="7" spans="1:20" ht="36.65" customHeight="1">
      <c r="A7" s="71"/>
      <c r="B7" s="71" t="s">
        <v>50</v>
      </c>
      <c r="C7" s="74" t="s">
        <v>51</v>
      </c>
      <c r="D7" s="71" t="s">
        <v>51</v>
      </c>
      <c r="E7" s="71"/>
    </row>
    <row r="8" spans="1:20" ht="18.45">
      <c r="A8" s="71"/>
      <c r="B8" s="43" t="str">
        <f ca="1">B3</f>
        <v>12 Orel Řečkovice - Hanák Pavel</v>
      </c>
      <c r="C8" s="75">
        <f>IF(('Hra 2P'!E74=""),"",'Hra 2P'!E74)</f>
        <v>13</v>
      </c>
      <c r="D8" s="75">
        <f>IF(('Hra 2P'!F74=""),"",'Hra 2P'!F74)</f>
        <v>0</v>
      </c>
      <c r="E8" s="43" t="str">
        <f ca="1">B6</f>
        <v>53 PC Sokol Velim - Sudoměřický Tomáš</v>
      </c>
    </row>
    <row r="9" spans="1:20" ht="18.45">
      <c r="A9" s="71"/>
      <c r="B9" s="43" t="str">
        <f ca="1">B4</f>
        <v>21 Carreau Brno - Ferlay Franck</v>
      </c>
      <c r="C9" s="75">
        <f>IF(('Hra 2P'!E75=""),"",'Hra 2P'!E75)</f>
        <v>1</v>
      </c>
      <c r="D9" s="75">
        <f>IF(('Hra 2P'!F75=""),"",'Hra 2P'!F75)</f>
        <v>0</v>
      </c>
      <c r="E9" s="43" t="str">
        <f ca="1">B5</f>
        <v>44 SKP Kulová osma - Chmelař Ivo</v>
      </c>
    </row>
    <row r="10" spans="1:20" ht="18.45">
      <c r="A10" s="76" t="s">
        <v>46</v>
      </c>
      <c r="B10" s="43" t="str">
        <f ca="1">IF(TRIM(E8)="-",B8,IF(AND(C8="",D8="")," ",IF(N(C8)&gt;N(D8),B8,E8)))</f>
        <v>12 Orel Řečkovice - Hanák Pavel</v>
      </c>
      <c r="C10" s="75">
        <f>IF(('Hra 2P'!E76=""),"",'Hra 2P'!E76)</f>
        <v>13</v>
      </c>
      <c r="D10" s="75">
        <f>IF(('Hra 2P'!F76=""),"",'Hra 2P'!F76)</f>
        <v>3</v>
      </c>
      <c r="E10" s="43" t="str">
        <f ca="1">IF(AND(C9="",D9="")," ",IF(N(C9)&gt;N(D9),B9,E9))</f>
        <v>21 Carreau Brno - Ferlay Franck</v>
      </c>
    </row>
    <row r="11" spans="1:20" ht="18.45">
      <c r="A11" s="76" t="s">
        <v>47</v>
      </c>
      <c r="B11" s="43" t="str">
        <f ca="1">IF(TRIM(E8)="-",E8,IF(AND(C8="",D8="")," ",IF(N(C8)&gt;N(D8),E8,B8)))</f>
        <v>53 PC Sokol Velim - Sudoměřický Tomáš</v>
      </c>
      <c r="C11" s="75">
        <f>IF(('Hra 2P'!E77=""),"",'Hra 2P'!E77)</f>
        <v>13</v>
      </c>
      <c r="D11" s="75">
        <f>IF(('Hra 2P'!F77=""),"",'Hra 2P'!F77)</f>
        <v>9</v>
      </c>
      <c r="E11" s="43" t="str">
        <f ca="1">IF(TRIM(E9)="",E9,IF(AND(C9="",D9="")," ",IF(N(C9)&gt;N(D9),E9,B9)))</f>
        <v>44 SKP Kulová osma - Chmelař Ivo</v>
      </c>
    </row>
    <row r="12" spans="1:20" ht="18.45">
      <c r="A12" s="76" t="s">
        <v>48</v>
      </c>
      <c r="B12" s="43" t="str">
        <f ca="1">IF(TRIM(E10)="",E10,IF(AND(C10="",D10="")," ",IF(N(C10)&gt;N(D10),E10,B10)))</f>
        <v>21 Carreau Brno - Ferlay Franck</v>
      </c>
      <c r="C12" s="75">
        <f>IF(('Hra 2P'!E78=""),"",'Hra 2P'!E78)</f>
        <v>1</v>
      </c>
      <c r="D12" s="75">
        <f>IF(('Hra 2P'!F78=""),"",'Hra 2P'!F78)</f>
        <v>0</v>
      </c>
      <c r="E12" s="43" t="str">
        <f ca="1">IF(AND(TRIM(B11)="",TRIM(E8)=""),E11,IF(AND(C11="",D11="")," ",IF(N(C11)&gt;N(D11),B11,E11)))</f>
        <v>53 PC Sokol Velim - Sudoměřický Tomáš</v>
      </c>
    </row>
    <row r="13" spans="1:20" ht="37.200000000000003" customHeight="1">
      <c r="A13" s="71"/>
      <c r="B13" s="77" t="s">
        <v>52</v>
      </c>
      <c r="C13" s="78" t="s">
        <v>116</v>
      </c>
      <c r="D13" s="71"/>
      <c r="E13" s="71"/>
    </row>
    <row r="14" spans="1:20" ht="18.45">
      <c r="A14" s="71" t="s">
        <v>31</v>
      </c>
      <c r="B14" s="43" t="str">
        <f ca="1">IF(N(C10)+N(D10)&gt;0,IF(N(C10)&gt;N(D10),B10,E10),"")</f>
        <v>12 Orel Řečkovice - Hanák Pavel</v>
      </c>
      <c r="C14" s="74" t="str">
        <f>CONCATENATE($C$1,A3)</f>
        <v>L1</v>
      </c>
      <c r="D14" s="71"/>
      <c r="E14" s="71"/>
    </row>
    <row r="15" spans="1:20" ht="18.45">
      <c r="A15" s="71" t="s">
        <v>32</v>
      </c>
      <c r="B15" s="43" t="str">
        <f ca="1">IF(N(C12)+N(D12)&gt;0,IF(N(C12)&gt;N(D12),B12,E12),"")</f>
        <v>21 Carreau Brno - Ferlay Franck</v>
      </c>
      <c r="C15" s="74" t="str">
        <f>CONCATENATE($C$1,A4)</f>
        <v>L2</v>
      </c>
      <c r="D15" s="71"/>
      <c r="E15" s="71"/>
    </row>
    <row r="16" spans="1:20" ht="18.45">
      <c r="A16" s="71" t="s">
        <v>33</v>
      </c>
      <c r="B16" s="43" t="str">
        <f ca="1">IF(N(C12)+N(D12)&gt;0,IF(N(C12)&gt;N(D12),E12,B12),"")</f>
        <v>53 PC Sokol Velim - Sudoměřický Tomáš</v>
      </c>
      <c r="C16" s="74" t="str">
        <f>CONCATENATE($C$1,A5)</f>
        <v>L3</v>
      </c>
      <c r="D16" s="71"/>
      <c r="E16" s="71"/>
    </row>
    <row r="17" spans="1:5" ht="18.45">
      <c r="A17" s="71" t="s">
        <v>34</v>
      </c>
      <c r="B17" s="79" t="str">
        <f ca="1">IF(N(C11)+N(D11)&gt;0,IF(N(C11)&gt;N(D11),E11,B11),"")</f>
        <v>44 SKP Kulová osma - Chmelař Ivo</v>
      </c>
      <c r="C17" s="74" t="str">
        <f>CONCATENATE($C$1,A6)</f>
        <v>L4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13</v>
      </c>
      <c r="B1" s="72" t="s">
        <v>113</v>
      </c>
      <c r="C1" s="72" t="s">
        <v>94</v>
      </c>
      <c r="D1" s="73"/>
      <c r="E1" s="71"/>
      <c r="F1">
        <f>VLOOKUP(A1,'Hra 2P'!I8:J198,2,0)</f>
        <v>80</v>
      </c>
      <c r="L1">
        <f ca="1">IF(TRIM(B3)="-",0,1) + IF(TRIM(B4)="-",0,1) + IF(TRIM(B5)="-",0,1) + IF(TRIM(B6)="-",0,1)</f>
        <v>4</v>
      </c>
      <c r="R1">
        <f ca="1">INDIRECT(ADDRESS(4,A1,1,1,"Hřiště"))</f>
        <v>20</v>
      </c>
      <c r="S1">
        <f ca="1">INDIRECT(ADDRESS(5,A1,1,1,"Hřiště"))</f>
        <v>21</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13 PK Polouvsí - Valošek Radim</v>
      </c>
      <c r="C3" s="71"/>
      <c r="D3" s="71"/>
      <c r="E3" s="71"/>
    </row>
    <row r="4" spans="1:20" ht="18.45">
      <c r="A4" s="71">
        <v>2</v>
      </c>
      <c r="B4" s="43" t="str">
        <f ca="1">IF(TYPE(VLOOKUP(CONCATENATE($C$1,A4),Skupiny!$A$3:$B$130,2,0))&gt;4," - ",VLOOKUP(CONCATENATE($C$1,A4),Skupiny!$A$3:$B$130,2,0))</f>
        <v>20 Carreau Brno - Pellizon Boris Alfred</v>
      </c>
      <c r="C4" s="71"/>
      <c r="D4" s="71"/>
      <c r="E4" s="71"/>
    </row>
    <row r="5" spans="1:20" ht="18.45">
      <c r="A5" s="71">
        <v>3</v>
      </c>
      <c r="B5" s="43" t="str">
        <f ca="1">IF(TYPE(VLOOKUP(CONCATENATE($C$1,A5),Skupiny!$A$3:$B$130,2,0))&gt;4," - ",VLOOKUP(CONCATENATE($C$1,A5),Skupiny!$A$3:$B$130,2,0))</f>
        <v>45 PSK Jihlava - Lujková Klára</v>
      </c>
      <c r="C5" s="71"/>
      <c r="D5" s="71"/>
      <c r="E5" s="71"/>
    </row>
    <row r="6" spans="1:20" ht="18.45">
      <c r="A6" s="71">
        <v>4</v>
      </c>
      <c r="B6" s="43" t="str">
        <f ca="1">IF(TYPE(VLOOKUP(CONCATENATE($C$1,A6),Skupiny!$A$3:$B$130,2,0))&gt;4," - ",VLOOKUP(CONCATENATE($C$1,A6),Skupiny!$A$3:$B$130,2,0))</f>
        <v>52 Carreau Brno - Grepl Kamila</v>
      </c>
      <c r="C6" s="71"/>
      <c r="D6" s="71"/>
      <c r="E6" s="71"/>
    </row>
    <row r="7" spans="1:20" ht="36.65" customHeight="1">
      <c r="A7" s="71"/>
      <c r="B7" s="71" t="s">
        <v>50</v>
      </c>
      <c r="C7" s="74" t="s">
        <v>51</v>
      </c>
      <c r="D7" s="71" t="s">
        <v>51</v>
      </c>
      <c r="E7" s="71"/>
    </row>
    <row r="8" spans="1:20" ht="18.45">
      <c r="A8" s="71"/>
      <c r="B8" s="43" t="str">
        <f ca="1">B3</f>
        <v>13 PK Polouvsí - Valošek Radim</v>
      </c>
      <c r="C8" s="75">
        <f>IF(('Hra 2P'!E80=""),"",'Hra 2P'!E80)</f>
        <v>13</v>
      </c>
      <c r="D8" s="75">
        <f>IF(('Hra 2P'!F80=""),"",'Hra 2P'!F80)</f>
        <v>9</v>
      </c>
      <c r="E8" s="43" t="str">
        <f ca="1">B6</f>
        <v>52 Carreau Brno - Grepl Kamila</v>
      </c>
    </row>
    <row r="9" spans="1:20" ht="18.45">
      <c r="A9" s="71"/>
      <c r="B9" s="43" t="str">
        <f ca="1">B4</f>
        <v>20 Carreau Brno - Pellizon Boris Alfred</v>
      </c>
      <c r="C9" s="75">
        <f>IF(('Hra 2P'!E81=""),"",'Hra 2P'!E81)</f>
        <v>13</v>
      </c>
      <c r="D9" s="75">
        <f>IF(('Hra 2P'!F81=""),"",'Hra 2P'!F81)</f>
        <v>7</v>
      </c>
      <c r="E9" s="43" t="str">
        <f ca="1">B5</f>
        <v>45 PSK Jihlava - Lujková Klára</v>
      </c>
    </row>
    <row r="10" spans="1:20" ht="18.45">
      <c r="A10" s="76" t="s">
        <v>46</v>
      </c>
      <c r="B10" s="43" t="str">
        <f ca="1">IF(TRIM(E8)="-",B8,IF(AND(C8="",D8="")," ",IF(N(C8)&gt;N(D8),B8,E8)))</f>
        <v>13 PK Polouvsí - Valošek Radim</v>
      </c>
      <c r="C10" s="75">
        <f>IF(('Hra 2P'!E82=""),"",'Hra 2P'!E82)</f>
        <v>7</v>
      </c>
      <c r="D10" s="75">
        <f>IF(('Hra 2P'!F82=""),"",'Hra 2P'!F82)</f>
        <v>13</v>
      </c>
      <c r="E10" s="43" t="str">
        <f ca="1">IF(AND(C9="",D9="")," ",IF(N(C9)&gt;N(D9),B9,E9))</f>
        <v>20 Carreau Brno - Pellizon Boris Alfred</v>
      </c>
    </row>
    <row r="11" spans="1:20" ht="18.45">
      <c r="A11" s="76" t="s">
        <v>47</v>
      </c>
      <c r="B11" s="43" t="str">
        <f ca="1">IF(TRIM(E8)="-",E8,IF(AND(C8="",D8="")," ",IF(N(C8)&gt;N(D8),E8,B8)))</f>
        <v>52 Carreau Brno - Grepl Kamila</v>
      </c>
      <c r="C11" s="75">
        <f>IF(('Hra 2P'!E83=""),"",'Hra 2P'!E83)</f>
        <v>11</v>
      </c>
      <c r="D11" s="75">
        <f>IF(('Hra 2P'!F83=""),"",'Hra 2P'!F83)</f>
        <v>13</v>
      </c>
      <c r="E11" s="43" t="str">
        <f ca="1">IF(TRIM(E9)="",E9,IF(AND(C9="",D9="")," ",IF(N(C9)&gt;N(D9),E9,B9)))</f>
        <v>45 PSK Jihlava - Lujková Klára</v>
      </c>
    </row>
    <row r="12" spans="1:20" ht="18.45">
      <c r="A12" s="76" t="s">
        <v>48</v>
      </c>
      <c r="B12" s="43" t="str">
        <f ca="1">IF(TRIM(E10)="",E10,IF(AND(C10="",D10="")," ",IF(N(C10)&gt;N(D10),E10,B10)))</f>
        <v>13 PK Polouvsí - Valošek Radim</v>
      </c>
      <c r="C12" s="75">
        <f>IF(('Hra 2P'!E84=""),"",'Hra 2P'!E84)</f>
        <v>13</v>
      </c>
      <c r="D12" s="75">
        <f>IF(('Hra 2P'!F84=""),"",'Hra 2P'!F84)</f>
        <v>8</v>
      </c>
      <c r="E12" s="43" t="str">
        <f ca="1">IF(AND(TRIM(B11)="",TRIM(E8)=""),E11,IF(AND(C11="",D11="")," ",IF(N(C11)&gt;N(D11),B11,E11)))</f>
        <v>45 PSK Jihlava - Lujková Klára</v>
      </c>
    </row>
    <row r="13" spans="1:20" ht="37.200000000000003" customHeight="1">
      <c r="A13" s="71"/>
      <c r="B13" s="77" t="s">
        <v>52</v>
      </c>
      <c r="C13" s="78" t="s">
        <v>116</v>
      </c>
      <c r="D13" s="71"/>
      <c r="E13" s="71"/>
    </row>
    <row r="14" spans="1:20" ht="18.45">
      <c r="A14" s="71" t="s">
        <v>31</v>
      </c>
      <c r="B14" s="43" t="str">
        <f ca="1">IF(N(C10)+N(D10)&gt;0,IF(N(C10)&gt;N(D10),B10,E10),"")</f>
        <v>20 Carreau Brno - Pellizon Boris Alfred</v>
      </c>
      <c r="C14" s="74" t="str">
        <f>CONCATENATE($C$1,A3)</f>
        <v>M1</v>
      </c>
      <c r="D14" s="71"/>
      <c r="E14" s="71"/>
    </row>
    <row r="15" spans="1:20" ht="18.45">
      <c r="A15" s="71" t="s">
        <v>32</v>
      </c>
      <c r="B15" s="43" t="str">
        <f ca="1">IF(N(C12)+N(D12)&gt;0,IF(N(C12)&gt;N(D12),B12,E12),"")</f>
        <v>13 PK Polouvsí - Valošek Radim</v>
      </c>
      <c r="C15" s="74" t="str">
        <f>CONCATENATE($C$1,A4)</f>
        <v>M2</v>
      </c>
      <c r="D15" s="71"/>
      <c r="E15" s="71"/>
    </row>
    <row r="16" spans="1:20" ht="18.45">
      <c r="A16" s="71" t="s">
        <v>33</v>
      </c>
      <c r="B16" s="43" t="str">
        <f ca="1">IF(N(C12)+N(D12)&gt;0,IF(N(C12)&gt;N(D12),E12,B12),"")</f>
        <v>45 PSK Jihlava - Lujková Klára</v>
      </c>
      <c r="C16" s="74" t="str">
        <f>CONCATENATE($C$1,A5)</f>
        <v>M3</v>
      </c>
      <c r="D16" s="71"/>
      <c r="E16" s="71"/>
    </row>
    <row r="17" spans="1:5" ht="18.45">
      <c r="A17" s="71" t="s">
        <v>34</v>
      </c>
      <c r="B17" s="79" t="str">
        <f ca="1">IF(N(C11)+N(D11)&gt;0,IF(N(C11)&gt;N(D11),E11,B11),"")</f>
        <v>52 Carreau Brno - Grepl Kamila</v>
      </c>
      <c r="C17" s="74" t="str">
        <f>CONCATENATE($C$1,A6)</f>
        <v>M4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14</v>
      </c>
      <c r="B1" s="72" t="s">
        <v>113</v>
      </c>
      <c r="C1" s="72" t="s">
        <v>95</v>
      </c>
      <c r="D1" s="73"/>
      <c r="E1" s="71"/>
      <c r="F1">
        <f>VLOOKUP(A1,'Hra 2P'!I8:J198,2,0)</f>
        <v>86</v>
      </c>
      <c r="L1">
        <f ca="1">IF(TRIM(B3)="-",0,1) + IF(TRIM(B4)="-",0,1) + IF(TRIM(B5)="-",0,1) + IF(TRIM(B6)="-",0,1)</f>
        <v>4</v>
      </c>
      <c r="R1">
        <f ca="1">INDIRECT(ADDRESS(4,A1,1,1,"Hřiště"))</f>
        <v>22</v>
      </c>
      <c r="S1">
        <f ca="1">INDIRECT(ADDRESS(5,A1,1,1,"Hřiště"))</f>
        <v>23</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14 PEK Stolín - Geislerová Veronika</v>
      </c>
      <c r="C3" s="71"/>
      <c r="D3" s="71"/>
      <c r="E3" s="71"/>
    </row>
    <row r="4" spans="1:20" ht="18.45">
      <c r="A4" s="71">
        <v>2</v>
      </c>
      <c r="B4" s="43" t="str">
        <f ca="1">IF(TYPE(VLOOKUP(CONCATENATE($C$1,A4),Skupiny!$A$3:$B$130,2,0))&gt;4," - ",VLOOKUP(CONCATENATE($C$1,A4),Skupiny!$A$3:$B$130,2,0))</f>
        <v>19 SKP Hranice VI-Valšovice - Gratcl Jiří</v>
      </c>
      <c r="C4" s="71"/>
      <c r="D4" s="71"/>
      <c r="E4" s="71"/>
    </row>
    <row r="5" spans="1:20" ht="18.45">
      <c r="A5" s="71">
        <v>3</v>
      </c>
      <c r="B5" s="43" t="str">
        <f ca="1">IF(TYPE(VLOOKUP(CONCATENATE($C$1,A5),Skupiny!$A$3:$B$130,2,0))&gt;4," - ",VLOOKUP(CONCATENATE($C$1,A5),Skupiny!$A$3:$B$130,2,0))</f>
        <v>46 SK Sahara Vědomice - Horáčková Simona</v>
      </c>
      <c r="C5" s="71"/>
      <c r="D5" s="71"/>
      <c r="E5" s="71"/>
    </row>
    <row r="6" spans="1:20" ht="18.45">
      <c r="A6" s="71">
        <v>4</v>
      </c>
      <c r="B6" s="43" t="str">
        <f ca="1">IF(TYPE(VLOOKUP(CONCATENATE($C$1,A6),Skupiny!$A$3:$B$130,2,0))&gt;4," - ",VLOOKUP(CONCATENATE($C$1,A6),Skupiny!$A$3:$B$130,2,0))</f>
        <v>51 UBU Únětice - Fuksa Petr</v>
      </c>
      <c r="C6" s="71"/>
      <c r="D6" s="71"/>
      <c r="E6" s="71"/>
    </row>
    <row r="7" spans="1:20" ht="36.65" customHeight="1">
      <c r="A7" s="71"/>
      <c r="B7" s="71" t="s">
        <v>50</v>
      </c>
      <c r="C7" s="74" t="s">
        <v>51</v>
      </c>
      <c r="D7" s="71" t="s">
        <v>51</v>
      </c>
      <c r="E7" s="71"/>
    </row>
    <row r="8" spans="1:20" ht="18.45">
      <c r="A8" s="71"/>
      <c r="B8" s="43" t="str">
        <f ca="1">B3</f>
        <v>14 PEK Stolín - Geislerová Veronika</v>
      </c>
      <c r="C8" s="75">
        <f>IF(('Hra 2P'!E86=""),"",'Hra 2P'!E86)</f>
        <v>11</v>
      </c>
      <c r="D8" s="75">
        <f>IF(('Hra 2P'!F86=""),"",'Hra 2P'!F86)</f>
        <v>13</v>
      </c>
      <c r="E8" s="43" t="str">
        <f ca="1">B6</f>
        <v>51 UBU Únětice - Fuksa Petr</v>
      </c>
    </row>
    <row r="9" spans="1:20" ht="18.45">
      <c r="A9" s="71"/>
      <c r="B9" s="43" t="str">
        <f ca="1">B4</f>
        <v>19 SKP Hranice VI-Valšovice - Gratcl Jiří</v>
      </c>
      <c r="C9" s="75">
        <f>IF(('Hra 2P'!E87=""),"",'Hra 2P'!E87)</f>
        <v>13</v>
      </c>
      <c r="D9" s="75">
        <f>IF(('Hra 2P'!F87=""),"",'Hra 2P'!F87)</f>
        <v>5</v>
      </c>
      <c r="E9" s="43" t="str">
        <f ca="1">B5</f>
        <v>46 SK Sahara Vědomice - Horáčková Simona</v>
      </c>
    </row>
    <row r="10" spans="1:20" ht="18.45">
      <c r="A10" s="76" t="s">
        <v>46</v>
      </c>
      <c r="B10" s="43" t="str">
        <f ca="1">IF(TRIM(E8)="-",B8,IF(AND(C8="",D8="")," ",IF(N(C8)&gt;N(D8),B8,E8)))</f>
        <v>51 UBU Únětice - Fuksa Petr</v>
      </c>
      <c r="C10" s="75">
        <f>IF(('Hra 2P'!E88=""),"",'Hra 2P'!E88)</f>
        <v>13</v>
      </c>
      <c r="D10" s="75">
        <f>IF(('Hra 2P'!F88=""),"",'Hra 2P'!F88)</f>
        <v>3</v>
      </c>
      <c r="E10" s="43" t="str">
        <f ca="1">IF(AND(C9="",D9="")," ",IF(N(C9)&gt;N(D9),B9,E9))</f>
        <v>19 SKP Hranice VI-Valšovice - Gratcl Jiří</v>
      </c>
    </row>
    <row r="11" spans="1:20" ht="18.45">
      <c r="A11" s="76" t="s">
        <v>47</v>
      </c>
      <c r="B11" s="43" t="str">
        <f ca="1">IF(TRIM(E8)="-",E8,IF(AND(C8="",D8="")," ",IF(N(C8)&gt;N(D8),E8,B8)))</f>
        <v>14 PEK Stolín - Geislerová Veronika</v>
      </c>
      <c r="C11" s="75">
        <f>IF(('Hra 2P'!E89=""),"",'Hra 2P'!E89)</f>
        <v>3</v>
      </c>
      <c r="D11" s="75">
        <f>IF(('Hra 2P'!F89=""),"",'Hra 2P'!F89)</f>
        <v>13</v>
      </c>
      <c r="E11" s="43" t="str">
        <f ca="1">IF(TRIM(E9)="",E9,IF(AND(C9="",D9="")," ",IF(N(C9)&gt;N(D9),E9,B9)))</f>
        <v>46 SK Sahara Vědomice - Horáčková Simona</v>
      </c>
    </row>
    <row r="12" spans="1:20" ht="18.45">
      <c r="A12" s="76" t="s">
        <v>48</v>
      </c>
      <c r="B12" s="43" t="str">
        <f ca="1">IF(TRIM(E10)="",E10,IF(AND(C10="",D10="")," ",IF(N(C10)&gt;N(D10),E10,B10)))</f>
        <v>19 SKP Hranice VI-Valšovice - Gratcl Jiří</v>
      </c>
      <c r="C12" s="75">
        <f>IF(('Hra 2P'!E90=""),"",'Hra 2P'!E90)</f>
        <v>13</v>
      </c>
      <c r="D12" s="75">
        <f>IF(('Hra 2P'!F90=""),"",'Hra 2P'!F90)</f>
        <v>1</v>
      </c>
      <c r="E12" s="43" t="str">
        <f ca="1">IF(AND(TRIM(B11)="",TRIM(E8)=""),E11,IF(AND(C11="",D11="")," ",IF(N(C11)&gt;N(D11),B11,E11)))</f>
        <v>46 SK Sahara Vědomice - Horáčková Simona</v>
      </c>
    </row>
    <row r="13" spans="1:20" ht="37.200000000000003" customHeight="1">
      <c r="A13" s="71"/>
      <c r="B13" s="77" t="s">
        <v>52</v>
      </c>
      <c r="C13" s="78" t="s">
        <v>116</v>
      </c>
      <c r="D13" s="71"/>
      <c r="E13" s="71"/>
    </row>
    <row r="14" spans="1:20" ht="18.45">
      <c r="A14" s="71" t="s">
        <v>31</v>
      </c>
      <c r="B14" s="43" t="str">
        <f ca="1">IF(N(C10)+N(D10)&gt;0,IF(N(C10)&gt;N(D10),B10,E10),"")</f>
        <v>51 UBU Únětice - Fuksa Petr</v>
      </c>
      <c r="C14" s="74" t="str">
        <f>CONCATENATE($C$1,A3)</f>
        <v>N1</v>
      </c>
      <c r="D14" s="71"/>
      <c r="E14" s="71"/>
    </row>
    <row r="15" spans="1:20" ht="18.45">
      <c r="A15" s="71" t="s">
        <v>32</v>
      </c>
      <c r="B15" s="43" t="str">
        <f ca="1">IF(N(C12)+N(D12)&gt;0,IF(N(C12)&gt;N(D12),B12,E12),"")</f>
        <v>19 SKP Hranice VI-Valšovice - Gratcl Jiří</v>
      </c>
      <c r="C15" s="74" t="str">
        <f>CONCATENATE($C$1,A4)</f>
        <v>N2</v>
      </c>
      <c r="D15" s="71"/>
      <c r="E15" s="71"/>
    </row>
    <row r="16" spans="1:20" ht="18.45">
      <c r="A16" s="71" t="s">
        <v>33</v>
      </c>
      <c r="B16" s="43" t="str">
        <f ca="1">IF(N(C12)+N(D12)&gt;0,IF(N(C12)&gt;N(D12),E12,B12),"")</f>
        <v>46 SK Sahara Vědomice - Horáčková Simona</v>
      </c>
      <c r="C16" s="74" t="str">
        <f>CONCATENATE($C$1,A5)</f>
        <v>N3</v>
      </c>
      <c r="D16" s="71"/>
      <c r="E16" s="71"/>
    </row>
    <row r="17" spans="1:5" ht="18.45">
      <c r="A17" s="71" t="s">
        <v>34</v>
      </c>
      <c r="B17" s="79" t="str">
        <f ca="1">IF(N(C11)+N(D11)&gt;0,IF(N(C11)&gt;N(D11),E11,B11),"")</f>
        <v>14 PEK Stolín - Geislerová Veronika</v>
      </c>
      <c r="C17" s="74" t="str">
        <f>CONCATENATE($C$1,A6)</f>
        <v>N4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15</v>
      </c>
      <c r="B1" s="72" t="s">
        <v>113</v>
      </c>
      <c r="C1" s="72" t="s">
        <v>96</v>
      </c>
      <c r="D1" s="73"/>
      <c r="E1" s="71"/>
      <c r="F1">
        <f>VLOOKUP(A1,'Hra 2P'!I8:J198,2,0)</f>
        <v>92</v>
      </c>
      <c r="L1">
        <f ca="1">IF(TRIM(B3)="-",0,1) + IF(TRIM(B4)="-",0,1) + IF(TRIM(B5)="-",0,1) + IF(TRIM(B6)="-",0,1)</f>
        <v>4</v>
      </c>
      <c r="R1">
        <f ca="1">INDIRECT(ADDRESS(4,A1,1,1,"Hřiště"))</f>
        <v>24</v>
      </c>
      <c r="S1">
        <f ca="1">INDIRECT(ADDRESS(5,A1,1,1,"Hřiště"))</f>
        <v>25</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15 1. KPK Vrchlabí - Hančová Alice</v>
      </c>
      <c r="C3" s="71"/>
      <c r="D3" s="71"/>
      <c r="E3" s="71"/>
    </row>
    <row r="4" spans="1:20" ht="18.45">
      <c r="A4" s="71">
        <v>2</v>
      </c>
      <c r="B4" s="43" t="str">
        <f ca="1">IF(TYPE(VLOOKUP(CONCATENATE($C$1,A4),Skupiny!$A$3:$B$130,2,0))&gt;4," - ",VLOOKUP(CONCATENATE($C$1,A4),Skupiny!$A$3:$B$130,2,0))</f>
        <v>18 1. KPK Vrchlabí - Brázda Vladimír</v>
      </c>
      <c r="C4" s="71"/>
      <c r="D4" s="71"/>
      <c r="E4" s="71"/>
    </row>
    <row r="5" spans="1:20" ht="18.45">
      <c r="A5" s="71">
        <v>3</v>
      </c>
      <c r="B5" s="43" t="str">
        <f ca="1">IF(TYPE(VLOOKUP(CONCATENATE($C$1,A5),Skupiny!$A$3:$B$130,2,0))&gt;4," - ",VLOOKUP(CONCATENATE($C$1,A5),Skupiny!$A$3:$B$130,2,0))</f>
        <v>47 1. Starobrněnský PK - Petrželka Josef</v>
      </c>
      <c r="C5" s="71"/>
      <c r="D5" s="71"/>
      <c r="E5" s="71"/>
    </row>
    <row r="6" spans="1:20" ht="18.45">
      <c r="A6" s="71">
        <v>4</v>
      </c>
      <c r="B6" s="43" t="str">
        <f ca="1">IF(TYPE(VLOOKUP(CONCATENATE($C$1,A6),Skupiny!$A$3:$B$130,2,0))&gt;4," - ",VLOOKUP(CONCATENATE($C$1,A6),Skupiny!$A$3:$B$130,2,0))</f>
        <v>50 PK Polouvsí - Rusek Luboš</v>
      </c>
      <c r="C6" s="71"/>
      <c r="D6" s="71"/>
      <c r="E6" s="71"/>
    </row>
    <row r="7" spans="1:20" ht="36.65" customHeight="1">
      <c r="A7" s="71"/>
      <c r="B7" s="71" t="s">
        <v>50</v>
      </c>
      <c r="C7" s="74" t="s">
        <v>51</v>
      </c>
      <c r="D7" s="71" t="s">
        <v>51</v>
      </c>
      <c r="E7" s="71"/>
    </row>
    <row r="8" spans="1:20" ht="18.45">
      <c r="A8" s="71"/>
      <c r="B8" s="43" t="str">
        <f ca="1">B3</f>
        <v>15 1. KPK Vrchlabí - Hančová Alice</v>
      </c>
      <c r="C8" s="75">
        <f>IF(('Hra 2P'!E92=""),"",'Hra 2P'!E92)</f>
        <v>13</v>
      </c>
      <c r="D8" s="75">
        <f>IF(('Hra 2P'!F92=""),"",'Hra 2P'!F92)</f>
        <v>6</v>
      </c>
      <c r="E8" s="43" t="str">
        <f ca="1">B6</f>
        <v>50 PK Polouvsí - Rusek Luboš</v>
      </c>
    </row>
    <row r="9" spans="1:20" ht="18.45">
      <c r="A9" s="71"/>
      <c r="B9" s="43" t="str">
        <f ca="1">B4</f>
        <v>18 1. KPK Vrchlabí - Brázda Vladimír</v>
      </c>
      <c r="C9" s="75">
        <f>IF(('Hra 2P'!E93=""),"",'Hra 2P'!E93)</f>
        <v>13</v>
      </c>
      <c r="D9" s="75">
        <f>IF(('Hra 2P'!F93=""),"",'Hra 2P'!F93)</f>
        <v>11</v>
      </c>
      <c r="E9" s="43" t="str">
        <f ca="1">B5</f>
        <v>47 1. Starobrněnský PK - Petrželka Josef</v>
      </c>
    </row>
    <row r="10" spans="1:20" ht="18.45">
      <c r="A10" s="76" t="s">
        <v>46</v>
      </c>
      <c r="B10" s="43" t="str">
        <f ca="1">IF(TRIM(E8)="-",B8,IF(AND(C8="",D8="")," ",IF(N(C8)&gt;N(D8),B8,E8)))</f>
        <v>15 1. KPK Vrchlabí - Hančová Alice</v>
      </c>
      <c r="C10" s="75">
        <f>IF(('Hra 2P'!E94=""),"",'Hra 2P'!E94)</f>
        <v>13</v>
      </c>
      <c r="D10" s="75">
        <f>IF(('Hra 2P'!F94=""),"",'Hra 2P'!F94)</f>
        <v>2</v>
      </c>
      <c r="E10" s="43" t="str">
        <f ca="1">IF(AND(C9="",D9="")," ",IF(N(C9)&gt;N(D9),B9,E9))</f>
        <v>18 1. KPK Vrchlabí - Brázda Vladimír</v>
      </c>
    </row>
    <row r="11" spans="1:20" ht="18.45">
      <c r="A11" s="76" t="s">
        <v>47</v>
      </c>
      <c r="B11" s="43" t="str">
        <f ca="1">IF(TRIM(E8)="-",E8,IF(AND(C8="",D8="")," ",IF(N(C8)&gt;N(D8),E8,B8)))</f>
        <v>50 PK Polouvsí - Rusek Luboš</v>
      </c>
      <c r="C11" s="75">
        <f>IF(('Hra 2P'!E95=""),"",'Hra 2P'!E95)</f>
        <v>6</v>
      </c>
      <c r="D11" s="75">
        <f>IF(('Hra 2P'!F95=""),"",'Hra 2P'!F95)</f>
        <v>13</v>
      </c>
      <c r="E11" s="43" t="str">
        <f ca="1">IF(TRIM(E9)="",E9,IF(AND(C9="",D9="")," ",IF(N(C9)&gt;N(D9),E9,B9)))</f>
        <v>47 1. Starobrněnský PK - Petrželka Josef</v>
      </c>
    </row>
    <row r="12" spans="1:20" ht="18.45">
      <c r="A12" s="76" t="s">
        <v>48</v>
      </c>
      <c r="B12" s="43" t="str">
        <f ca="1">IF(TRIM(E10)="",E10,IF(AND(C10="",D10="")," ",IF(N(C10)&gt;N(D10),E10,B10)))</f>
        <v>18 1. KPK Vrchlabí - Brázda Vladimír</v>
      </c>
      <c r="C12" s="75">
        <f>IF(('Hra 2P'!E96=""),"",'Hra 2P'!E96)</f>
        <v>13</v>
      </c>
      <c r="D12" s="75">
        <f>IF(('Hra 2P'!F96=""),"",'Hra 2P'!F96)</f>
        <v>4</v>
      </c>
      <c r="E12" s="43" t="str">
        <f ca="1">IF(AND(TRIM(B11)="",TRIM(E8)=""),E11,IF(AND(C11="",D11="")," ",IF(N(C11)&gt;N(D11),B11,E11)))</f>
        <v>47 1. Starobrněnský PK - Petrželka Josef</v>
      </c>
    </row>
    <row r="13" spans="1:20" ht="37.200000000000003" customHeight="1">
      <c r="A13" s="71"/>
      <c r="B13" s="77" t="s">
        <v>52</v>
      </c>
      <c r="C13" s="78" t="s">
        <v>116</v>
      </c>
      <c r="D13" s="71"/>
      <c r="E13" s="71"/>
    </row>
    <row r="14" spans="1:20" ht="18.45">
      <c r="A14" s="71" t="s">
        <v>31</v>
      </c>
      <c r="B14" s="43" t="str">
        <f ca="1">IF(N(C10)+N(D10)&gt;0,IF(N(C10)&gt;N(D10),B10,E10),"")</f>
        <v>15 1. KPK Vrchlabí - Hančová Alice</v>
      </c>
      <c r="C14" s="74" t="str">
        <f>CONCATENATE($C$1,A3)</f>
        <v>O1</v>
      </c>
      <c r="D14" s="71"/>
      <c r="E14" s="71"/>
    </row>
    <row r="15" spans="1:20" ht="18.45">
      <c r="A15" s="71" t="s">
        <v>32</v>
      </c>
      <c r="B15" s="43" t="str">
        <f ca="1">IF(N(C12)+N(D12)&gt;0,IF(N(C12)&gt;N(D12),B12,E12),"")</f>
        <v>18 1. KPK Vrchlabí - Brázda Vladimír</v>
      </c>
      <c r="C15" s="74" t="str">
        <f>CONCATENATE($C$1,A4)</f>
        <v>O2</v>
      </c>
      <c r="D15" s="71"/>
      <c r="E15" s="71"/>
    </row>
    <row r="16" spans="1:20" ht="18.45">
      <c r="A16" s="71" t="s">
        <v>33</v>
      </c>
      <c r="B16" s="43" t="str">
        <f ca="1">IF(N(C12)+N(D12)&gt;0,IF(N(C12)&gt;N(D12),E12,B12),"")</f>
        <v>47 1. Starobrněnský PK - Petrželka Josef</v>
      </c>
      <c r="C16" s="74" t="str">
        <f>CONCATENATE($C$1,A5)</f>
        <v>O3</v>
      </c>
      <c r="D16" s="71"/>
      <c r="E16" s="71"/>
    </row>
    <row r="17" spans="1:5" ht="18.45">
      <c r="A17" s="71" t="s">
        <v>34</v>
      </c>
      <c r="B17" s="79" t="str">
        <f ca="1">IF(N(C11)+N(D11)&gt;0,IF(N(C11)&gt;N(D11),E11,B11),"")</f>
        <v>50 PK Polouvsí - Rusek Luboš</v>
      </c>
      <c r="C17" s="74" t="str">
        <f>CONCATENATE($C$1,A6)</f>
        <v>O4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16</v>
      </c>
      <c r="B1" s="72" t="s">
        <v>113</v>
      </c>
      <c r="C1" s="72" t="s">
        <v>97</v>
      </c>
      <c r="D1" s="73"/>
      <c r="E1" s="71"/>
      <c r="F1">
        <f>VLOOKUP(A1,'Hra 2P'!I8:J198,2,0)</f>
        <v>98</v>
      </c>
      <c r="L1">
        <f ca="1">IF(TRIM(B3)="-",0,1) + IF(TRIM(B4)="-",0,1) + IF(TRIM(B5)="-",0,1) + IF(TRIM(B6)="-",0,1)</f>
        <v>4</v>
      </c>
      <c r="R1">
        <f ca="1">INDIRECT(ADDRESS(4,A1,1,1,"Hřiště"))</f>
        <v>26</v>
      </c>
      <c r="S1">
        <f ca="1">INDIRECT(ADDRESS(5,A1,1,1,"Hřiště"))</f>
        <v>27</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16 HAPEK - Bureš st. Pavel</v>
      </c>
      <c r="C3" s="71"/>
      <c r="D3" s="71"/>
      <c r="E3" s="71"/>
    </row>
    <row r="4" spans="1:20" ht="18.45">
      <c r="A4" s="71">
        <v>2</v>
      </c>
      <c r="B4" s="43" t="str">
        <f ca="1">IF(TYPE(VLOOKUP(CONCATENATE($C$1,A4),Skupiny!$A$3:$B$130,2,0))&gt;4," - ",VLOOKUP(CONCATENATE($C$1,A4),Skupiny!$A$3:$B$130,2,0))</f>
        <v>17 SK Sahara Vědomice - Demčíková Jiřina</v>
      </c>
      <c r="C4" s="71"/>
      <c r="D4" s="71"/>
      <c r="E4" s="71"/>
    </row>
    <row r="5" spans="1:20" ht="18.45">
      <c r="A5" s="71">
        <v>3</v>
      </c>
      <c r="B5" s="43" t="str">
        <f ca="1">IF(TYPE(VLOOKUP(CONCATENATE($C$1,A5),Skupiny!$A$3:$B$130,2,0))&gt;4," - ",VLOOKUP(CONCATENATE($C$1,A5),Skupiny!$A$3:$B$130,2,0))</f>
        <v>48 SK Pétanque Řepy - Hladík Jaroslav</v>
      </c>
      <c r="C5" s="71"/>
      <c r="D5" s="71"/>
      <c r="E5" s="71"/>
    </row>
    <row r="6" spans="1:20" ht="18.45">
      <c r="A6" s="71">
        <v>4</v>
      </c>
      <c r="B6" s="43" t="str">
        <f ca="1">IF(TYPE(VLOOKUP(CONCATENATE($C$1,A6),Skupiny!$A$3:$B$130,2,0))&gt;4," - ",VLOOKUP(CONCATENATE($C$1,A6),Skupiny!$A$3:$B$130,2,0))</f>
        <v>49 PK Polouvsí - Grepl Zbyněk</v>
      </c>
      <c r="C6" s="71"/>
      <c r="D6" s="71"/>
      <c r="E6" s="71"/>
    </row>
    <row r="7" spans="1:20" ht="36.65" customHeight="1">
      <c r="A7" s="71"/>
      <c r="B7" s="71" t="s">
        <v>50</v>
      </c>
      <c r="C7" s="74" t="s">
        <v>51</v>
      </c>
      <c r="D7" s="71" t="s">
        <v>51</v>
      </c>
      <c r="E7" s="71"/>
    </row>
    <row r="8" spans="1:20" ht="18.45">
      <c r="A8" s="71"/>
      <c r="B8" s="43" t="str">
        <f ca="1">B3</f>
        <v>16 HAPEK - Bureš st. Pavel</v>
      </c>
      <c r="C8" s="75">
        <f>IF(('Hra 2P'!E98=""),"",'Hra 2P'!E98)</f>
        <v>13</v>
      </c>
      <c r="D8" s="75">
        <f>IF(('Hra 2P'!F98=""),"",'Hra 2P'!F98)</f>
        <v>1</v>
      </c>
      <c r="E8" s="43" t="str">
        <f ca="1">B6</f>
        <v>49 PK Polouvsí - Grepl Zbyněk</v>
      </c>
    </row>
    <row r="9" spans="1:20" ht="18.45">
      <c r="A9" s="71"/>
      <c r="B9" s="43" t="str">
        <f ca="1">B4</f>
        <v>17 SK Sahara Vědomice - Demčíková Jiřina</v>
      </c>
      <c r="C9" s="75">
        <f>IF(('Hra 2P'!E99=""),"",'Hra 2P'!E99)</f>
        <v>4</v>
      </c>
      <c r="D9" s="75">
        <f>IF(('Hra 2P'!F99=""),"",'Hra 2P'!F99)</f>
        <v>13</v>
      </c>
      <c r="E9" s="43" t="str">
        <f ca="1">B5</f>
        <v>48 SK Pétanque Řepy - Hladík Jaroslav</v>
      </c>
    </row>
    <row r="10" spans="1:20" ht="18.45">
      <c r="A10" s="76" t="s">
        <v>46</v>
      </c>
      <c r="B10" s="43" t="str">
        <f ca="1">IF(TRIM(E8)="-",B8,IF(AND(C8="",D8="")," ",IF(N(C8)&gt;N(D8),B8,E8)))</f>
        <v>16 HAPEK - Bureš st. Pavel</v>
      </c>
      <c r="C10" s="75">
        <f>IF(('Hra 2P'!E100=""),"",'Hra 2P'!E100)</f>
        <v>13</v>
      </c>
      <c r="D10" s="75">
        <f>IF(('Hra 2P'!F100=""),"",'Hra 2P'!F100)</f>
        <v>4</v>
      </c>
      <c r="E10" s="43" t="str">
        <f ca="1">IF(AND(C9="",D9="")," ",IF(N(C9)&gt;N(D9),B9,E9))</f>
        <v>48 SK Pétanque Řepy - Hladík Jaroslav</v>
      </c>
    </row>
    <row r="11" spans="1:20" ht="18.45">
      <c r="A11" s="76" t="s">
        <v>47</v>
      </c>
      <c r="B11" s="43" t="str">
        <f ca="1">IF(TRIM(E8)="-",E8,IF(AND(C8="",D8="")," ",IF(N(C8)&gt;N(D8),E8,B8)))</f>
        <v>49 PK Polouvsí - Grepl Zbyněk</v>
      </c>
      <c r="C11" s="75">
        <f>IF(('Hra 2P'!E101=""),"",'Hra 2P'!E101)</f>
        <v>7</v>
      </c>
      <c r="D11" s="75">
        <f>IF(('Hra 2P'!F101=""),"",'Hra 2P'!F101)</f>
        <v>13</v>
      </c>
      <c r="E11" s="43" t="str">
        <f ca="1">IF(TRIM(E9)="",E9,IF(AND(C9="",D9="")," ",IF(N(C9)&gt;N(D9),E9,B9)))</f>
        <v>17 SK Sahara Vědomice - Demčíková Jiřina</v>
      </c>
    </row>
    <row r="12" spans="1:20" ht="18.45">
      <c r="A12" s="76" t="s">
        <v>48</v>
      </c>
      <c r="B12" s="43" t="str">
        <f ca="1">IF(TRIM(E10)="",E10,IF(AND(C10="",D10="")," ",IF(N(C10)&gt;N(D10),E10,B10)))</f>
        <v>48 SK Pétanque Řepy - Hladík Jaroslav</v>
      </c>
      <c r="C12" s="75">
        <f>IF(('Hra 2P'!E102=""),"",'Hra 2P'!E102)</f>
        <v>0</v>
      </c>
      <c r="D12" s="75">
        <f>IF(('Hra 2P'!F102=""),"",'Hra 2P'!F102)</f>
        <v>13</v>
      </c>
      <c r="E12" s="43" t="str">
        <f ca="1">IF(AND(TRIM(B11)="",TRIM(E8)=""),E11,IF(AND(C11="",D11="")," ",IF(N(C11)&gt;N(D11),B11,E11)))</f>
        <v>17 SK Sahara Vědomice - Demčíková Jiřina</v>
      </c>
    </row>
    <row r="13" spans="1:20" ht="37.200000000000003" customHeight="1">
      <c r="A13" s="71"/>
      <c r="B13" s="77" t="s">
        <v>52</v>
      </c>
      <c r="C13" s="78" t="s">
        <v>116</v>
      </c>
      <c r="D13" s="71"/>
      <c r="E13" s="71"/>
    </row>
    <row r="14" spans="1:20" ht="18.45">
      <c r="A14" s="71" t="s">
        <v>31</v>
      </c>
      <c r="B14" s="43" t="str">
        <f ca="1">IF(N(C10)+N(D10)&gt;0,IF(N(C10)&gt;N(D10),B10,E10),"")</f>
        <v>16 HAPEK - Bureš st. Pavel</v>
      </c>
      <c r="C14" s="74" t="str">
        <f>CONCATENATE($C$1,A3)</f>
        <v>P1</v>
      </c>
      <c r="D14" s="71"/>
      <c r="E14" s="71"/>
    </row>
    <row r="15" spans="1:20" ht="18.45">
      <c r="A15" s="71" t="s">
        <v>32</v>
      </c>
      <c r="B15" s="43" t="str">
        <f ca="1">IF(N(C12)+N(D12)&gt;0,IF(N(C12)&gt;N(D12),B12,E12),"")</f>
        <v>17 SK Sahara Vědomice - Demčíková Jiřina</v>
      </c>
      <c r="C15" s="74" t="str">
        <f>CONCATENATE($C$1,A4)</f>
        <v>P2</v>
      </c>
      <c r="D15" s="71"/>
      <c r="E15" s="71"/>
    </row>
    <row r="16" spans="1:20" ht="18.45">
      <c r="A16" s="71" t="s">
        <v>33</v>
      </c>
      <c r="B16" s="43" t="str">
        <f ca="1">IF(N(C12)+N(D12)&gt;0,IF(N(C12)&gt;N(D12),E12,B12),"")</f>
        <v>48 SK Pétanque Řepy - Hladík Jaroslav</v>
      </c>
      <c r="C16" s="74" t="str">
        <f>CONCATENATE($C$1,A5)</f>
        <v>P3</v>
      </c>
      <c r="D16" s="71"/>
      <c r="E16" s="71"/>
    </row>
    <row r="17" spans="1:5" ht="18.45">
      <c r="A17" s="71" t="s">
        <v>34</v>
      </c>
      <c r="B17" s="79" t="str">
        <f ca="1">IF(N(C11)+N(D11)&gt;0,IF(N(C11)&gt;N(D11),E11,B11),"")</f>
        <v>49 PK Polouvsí - Grepl Zbyněk</v>
      </c>
      <c r="C17" s="74" t="str">
        <f>CONCATENATE($C$1,A6)</f>
        <v>P4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2P'!E104=""),"",'Hra 2P'!E104)</f>
        <v/>
      </c>
      <c r="D8" s="75" t="str">
        <f>IF(('Hra 2P'!F104=""),"",'Hra 2P'!F104)</f>
        <v/>
      </c>
      <c r="E8" s="43" t="str">
        <f ca="1">B6</f>
        <v xml:space="preserve"> - </v>
      </c>
    </row>
    <row r="9" spans="1:20" ht="18.45">
      <c r="A9" s="71"/>
      <c r="B9" s="43" t="str">
        <f ca="1">B4</f>
        <v xml:space="preserve"> - </v>
      </c>
      <c r="C9" s="75" t="str">
        <f>IF(('Hra 2P'!E105=""),"",'Hra 2P'!E105)</f>
        <v/>
      </c>
      <c r="D9" s="75" t="str">
        <f>IF(('Hra 2P'!F105=""),"",'Hra 2P'!F105)</f>
        <v/>
      </c>
      <c r="E9" s="43" t="str">
        <f ca="1">B5</f>
        <v xml:space="preserve"> - </v>
      </c>
    </row>
    <row r="10" spans="1:20" ht="18.4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8.4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8.4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Q1</v>
      </c>
      <c r="D14" s="71"/>
      <c r="E14" s="71"/>
    </row>
    <row r="15" spans="1:20" ht="18.45">
      <c r="A15" s="71" t="s">
        <v>32</v>
      </c>
      <c r="B15" s="43" t="str">
        <f>IF(N(C12)+N(D12)&gt;0,IF(N(C12)&gt;N(D12),B12,E12),"")</f>
        <v/>
      </c>
      <c r="C15" s="74" t="str">
        <f>CONCATENATE($C$1,A4)</f>
        <v>Q2</v>
      </c>
      <c r="D15" s="71"/>
      <c r="E15" s="71"/>
    </row>
    <row r="16" spans="1:20" ht="18.45">
      <c r="A16" s="71" t="s">
        <v>33</v>
      </c>
      <c r="B16" s="43" t="str">
        <f>IF(N(C12)+N(D12)&gt;0,IF(N(C12)&gt;N(D12),E12,B12),"")</f>
        <v/>
      </c>
      <c r="C16" s="74" t="str">
        <f>CONCATENATE($C$1,A5)</f>
        <v>Q3</v>
      </c>
      <c r="D16" s="71"/>
      <c r="E16" s="71"/>
    </row>
    <row r="17" spans="1:5" ht="18.45">
      <c r="A17" s="71" t="s">
        <v>34</v>
      </c>
      <c r="B17" s="79" t="str">
        <f>IF(N(C11)+N(D11)&gt;0,IF(N(C11)&gt;N(D11),E11,B11),"")</f>
        <v/>
      </c>
      <c r="C17" s="74" t="str">
        <f>CONCATENATE($C$1,A6)</f>
        <v>Q4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2P'!E110=""),"",'Hra 2P'!E110)</f>
        <v/>
      </c>
      <c r="D8" s="75" t="str">
        <f>IF(('Hra 2P'!F110=""),"",'Hra 2P'!F110)</f>
        <v/>
      </c>
      <c r="E8" s="43" t="str">
        <f ca="1">B6</f>
        <v xml:space="preserve"> - </v>
      </c>
    </row>
    <row r="9" spans="1:20" ht="18.45">
      <c r="A9" s="71"/>
      <c r="B9" s="43" t="str">
        <f ca="1">B4</f>
        <v xml:space="preserve"> - </v>
      </c>
      <c r="C9" s="75" t="str">
        <f>IF(('Hra 2P'!E111=""),"",'Hra 2P'!E111)</f>
        <v/>
      </c>
      <c r="D9" s="75" t="str">
        <f>IF(('Hra 2P'!F111=""),"",'Hra 2P'!F111)</f>
        <v/>
      </c>
      <c r="E9" s="43" t="str">
        <f ca="1">B5</f>
        <v xml:space="preserve"> - </v>
      </c>
    </row>
    <row r="10" spans="1:20" ht="18.4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8.4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8.4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R1</v>
      </c>
      <c r="D14" s="71"/>
      <c r="E14" s="71"/>
    </row>
    <row r="15" spans="1:20" ht="18.45">
      <c r="A15" s="71" t="s">
        <v>32</v>
      </c>
      <c r="B15" s="43" t="str">
        <f>IF(N(C12)+N(D12)&gt;0,IF(N(C12)&gt;N(D12),B12,E12),"")</f>
        <v/>
      </c>
      <c r="C15" s="74" t="str">
        <f>CONCATENATE($C$1,A4)</f>
        <v>R2</v>
      </c>
      <c r="D15" s="71"/>
      <c r="E15" s="71"/>
    </row>
    <row r="16" spans="1:20" ht="18.45">
      <c r="A16" s="71" t="s">
        <v>33</v>
      </c>
      <c r="B16" s="43" t="str">
        <f>IF(N(C12)+N(D12)&gt;0,IF(N(C12)&gt;N(D12),E12,B12),"")</f>
        <v/>
      </c>
      <c r="C16" s="74" t="str">
        <f>CONCATENATE($C$1,A5)</f>
        <v>R3</v>
      </c>
      <c r="D16" s="71"/>
      <c r="E16" s="71"/>
    </row>
    <row r="17" spans="1:5" ht="18.45">
      <c r="A17" s="71" t="s">
        <v>34</v>
      </c>
      <c r="B17" s="79" t="str">
        <f>IF(N(C11)+N(D11)&gt;0,IF(N(C11)&gt;N(D11),E11,B11),"")</f>
        <v/>
      </c>
      <c r="C17" s="74" t="str">
        <f>CONCATENATE($C$1,A6)</f>
        <v>R4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workbookViewId="0">
      <pane ySplit="4" topLeftCell="A5" activePane="bottomLeft" state="frozen"/>
      <selection pane="bottomLeft" activeCell="A5" sqref="A5"/>
    </sheetView>
  </sheetViews>
  <sheetFormatPr defaultColWidth="9.1640625" defaultRowHeight="12"/>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c r="A1" s="140" t="s">
        <v>139</v>
      </c>
      <c r="B1" s="100"/>
      <c r="C1" s="100"/>
      <c r="D1" s="100"/>
      <c r="E1" s="101"/>
      <c r="F1" s="100"/>
      <c r="G1" s="100"/>
      <c r="H1" s="100"/>
      <c r="I1" s="469"/>
      <c r="J1" s="470"/>
      <c r="K1" s="100"/>
    </row>
    <row r="2" spans="1:11" ht="19.2" customHeight="1">
      <c r="A2" s="471" t="s">
        <v>140</v>
      </c>
      <c r="B2" s="471"/>
      <c r="C2" s="471"/>
      <c r="D2" s="471"/>
      <c r="E2" s="472">
        <v>45439</v>
      </c>
      <c r="F2" s="471"/>
      <c r="G2" s="471"/>
      <c r="H2" s="471"/>
      <c r="I2" s="471"/>
      <c r="J2" s="471"/>
      <c r="K2" s="471"/>
    </row>
    <row r="3" spans="1:11" ht="12.9">
      <c r="F3" s="473" t="s">
        <v>363</v>
      </c>
    </row>
    <row r="4" spans="1:11" ht="13.3">
      <c r="A4" s="468" t="s">
        <v>141</v>
      </c>
      <c r="B4" s="468" t="s">
        <v>142</v>
      </c>
      <c r="C4" s="468" t="s">
        <v>143</v>
      </c>
      <c r="D4" s="468" t="s">
        <v>144</v>
      </c>
      <c r="E4" s="468" t="s">
        <v>145</v>
      </c>
      <c r="F4" s="468" t="s">
        <v>146</v>
      </c>
      <c r="G4" s="468" t="s">
        <v>147</v>
      </c>
      <c r="H4" s="468" t="s">
        <v>148</v>
      </c>
      <c r="I4" s="468" t="s">
        <v>300</v>
      </c>
      <c r="J4" s="468" t="s">
        <v>149</v>
      </c>
      <c r="K4" s="468" t="s">
        <v>364</v>
      </c>
    </row>
    <row r="5" spans="1:11">
      <c r="A5">
        <v>20529</v>
      </c>
      <c r="B5" t="s">
        <v>544</v>
      </c>
      <c r="C5" t="s">
        <v>545</v>
      </c>
      <c r="E5" t="s">
        <v>546</v>
      </c>
      <c r="F5">
        <v>86</v>
      </c>
      <c r="G5">
        <v>1988</v>
      </c>
      <c r="H5">
        <v>515</v>
      </c>
      <c r="I5">
        <v>0.92200000000000004</v>
      </c>
      <c r="J5">
        <v>76.503</v>
      </c>
      <c r="K5">
        <v>31</v>
      </c>
    </row>
    <row r="6" spans="1:11">
      <c r="A6">
        <v>22167</v>
      </c>
      <c r="B6" t="s">
        <v>1491</v>
      </c>
      <c r="C6" t="s">
        <v>557</v>
      </c>
      <c r="E6" t="s">
        <v>163</v>
      </c>
      <c r="F6">
        <v>43</v>
      </c>
      <c r="G6">
        <v>1973</v>
      </c>
      <c r="H6">
        <v>570</v>
      </c>
      <c r="I6">
        <v>0.68799999999999994</v>
      </c>
      <c r="J6">
        <v>22.861999999999998</v>
      </c>
      <c r="K6">
        <v>0</v>
      </c>
    </row>
    <row r="7" spans="1:11">
      <c r="A7">
        <v>24317</v>
      </c>
      <c r="B7" t="s">
        <v>549</v>
      </c>
      <c r="C7" t="s">
        <v>550</v>
      </c>
      <c r="E7" t="s">
        <v>216</v>
      </c>
      <c r="F7">
        <v>33</v>
      </c>
      <c r="G7">
        <v>1954</v>
      </c>
      <c r="H7">
        <v>128</v>
      </c>
      <c r="I7">
        <v>22.876000000000001</v>
      </c>
      <c r="J7">
        <v>1441.5650000000001</v>
      </c>
      <c r="K7">
        <v>525</v>
      </c>
    </row>
    <row r="8" spans="1:11">
      <c r="A8">
        <v>21018</v>
      </c>
      <c r="B8" t="s">
        <v>1492</v>
      </c>
      <c r="C8" t="s">
        <v>582</v>
      </c>
      <c r="E8" t="s">
        <v>584</v>
      </c>
      <c r="F8">
        <v>69</v>
      </c>
      <c r="G8">
        <v>1979</v>
      </c>
      <c r="H8">
        <v>359</v>
      </c>
      <c r="I8">
        <v>5.3769999999999998</v>
      </c>
      <c r="J8">
        <v>288.346</v>
      </c>
      <c r="K8">
        <v>128</v>
      </c>
    </row>
    <row r="9" spans="1:11">
      <c r="A9">
        <v>14091</v>
      </c>
      <c r="B9" t="s">
        <v>551</v>
      </c>
      <c r="C9" t="s">
        <v>552</v>
      </c>
      <c r="E9" t="s">
        <v>553</v>
      </c>
      <c r="F9">
        <v>79</v>
      </c>
      <c r="G9">
        <v>1987</v>
      </c>
      <c r="H9">
        <v>449</v>
      </c>
      <c r="I9">
        <v>1.5629999999999999</v>
      </c>
      <c r="J9">
        <v>146.84399999999999</v>
      </c>
      <c r="K9">
        <v>88</v>
      </c>
    </row>
    <row r="10" spans="1:11">
      <c r="A10">
        <v>18081</v>
      </c>
      <c r="B10" t="s">
        <v>558</v>
      </c>
      <c r="C10" t="s">
        <v>559</v>
      </c>
      <c r="E10" t="s">
        <v>505</v>
      </c>
      <c r="F10">
        <v>89</v>
      </c>
      <c r="G10">
        <v>1950</v>
      </c>
      <c r="H10">
        <v>344</v>
      </c>
      <c r="I10">
        <v>8.157</v>
      </c>
      <c r="J10">
        <v>322.65300000000002</v>
      </c>
      <c r="K10">
        <v>54</v>
      </c>
    </row>
    <row r="11" spans="1:11">
      <c r="A11">
        <v>96209</v>
      </c>
      <c r="B11" t="s">
        <v>558</v>
      </c>
      <c r="C11" t="s">
        <v>552</v>
      </c>
      <c r="E11" t="s">
        <v>513</v>
      </c>
      <c r="F11">
        <v>1</v>
      </c>
      <c r="G11">
        <v>1962</v>
      </c>
      <c r="H11">
        <v>494</v>
      </c>
      <c r="I11">
        <v>2.625</v>
      </c>
      <c r="J11">
        <v>99.391000000000005</v>
      </c>
      <c r="K11">
        <v>0</v>
      </c>
    </row>
    <row r="12" spans="1:11">
      <c r="A12">
        <v>18080</v>
      </c>
      <c r="B12" t="s">
        <v>560</v>
      </c>
      <c r="C12" t="s">
        <v>561</v>
      </c>
      <c r="D12" t="s">
        <v>107</v>
      </c>
      <c r="E12" t="s">
        <v>505</v>
      </c>
      <c r="F12">
        <v>89</v>
      </c>
      <c r="G12">
        <v>1949</v>
      </c>
      <c r="H12">
        <v>372</v>
      </c>
      <c r="I12">
        <v>7.282</v>
      </c>
      <c r="J12">
        <v>271.99200000000002</v>
      </c>
      <c r="K12">
        <v>29</v>
      </c>
    </row>
    <row r="13" spans="1:11">
      <c r="A13">
        <v>96210</v>
      </c>
      <c r="B13" t="s">
        <v>560</v>
      </c>
      <c r="C13" t="s">
        <v>563</v>
      </c>
      <c r="D13" t="s">
        <v>107</v>
      </c>
      <c r="E13" t="s">
        <v>513</v>
      </c>
      <c r="F13">
        <v>1</v>
      </c>
      <c r="G13">
        <v>1962</v>
      </c>
      <c r="H13">
        <v>596</v>
      </c>
      <c r="I13">
        <v>0</v>
      </c>
      <c r="J13">
        <v>0</v>
      </c>
      <c r="K13">
        <v>0</v>
      </c>
    </row>
    <row r="14" spans="1:11">
      <c r="A14">
        <v>22160</v>
      </c>
      <c r="B14" t="s">
        <v>1493</v>
      </c>
      <c r="C14" t="s">
        <v>664</v>
      </c>
      <c r="E14" t="s">
        <v>792</v>
      </c>
      <c r="F14">
        <v>93</v>
      </c>
      <c r="G14">
        <v>2006</v>
      </c>
      <c r="H14">
        <v>597</v>
      </c>
      <c r="I14">
        <v>0</v>
      </c>
      <c r="J14">
        <v>0</v>
      </c>
      <c r="K14">
        <v>0</v>
      </c>
    </row>
    <row r="15" spans="1:11">
      <c r="A15">
        <v>13079</v>
      </c>
      <c r="B15" t="s">
        <v>564</v>
      </c>
      <c r="C15" t="s">
        <v>565</v>
      </c>
      <c r="E15" t="s">
        <v>566</v>
      </c>
      <c r="F15">
        <v>51</v>
      </c>
      <c r="G15">
        <v>1956</v>
      </c>
      <c r="H15">
        <v>179</v>
      </c>
      <c r="I15">
        <v>21.064</v>
      </c>
      <c r="J15">
        <v>1041.23</v>
      </c>
      <c r="K15">
        <v>269</v>
      </c>
    </row>
    <row r="16" spans="1:11">
      <c r="A16">
        <v>99528</v>
      </c>
      <c r="B16" t="s">
        <v>564</v>
      </c>
      <c r="C16" t="s">
        <v>568</v>
      </c>
      <c r="E16" t="s">
        <v>567</v>
      </c>
      <c r="F16">
        <v>29</v>
      </c>
      <c r="G16">
        <v>1967</v>
      </c>
      <c r="H16">
        <v>303</v>
      </c>
      <c r="I16">
        <v>8.5</v>
      </c>
      <c r="J16">
        <v>449.99</v>
      </c>
      <c r="K16">
        <v>125</v>
      </c>
    </row>
    <row r="17" spans="1:11">
      <c r="A17">
        <v>15042</v>
      </c>
      <c r="B17" t="s">
        <v>574</v>
      </c>
      <c r="C17" t="s">
        <v>556</v>
      </c>
      <c r="D17" t="s">
        <v>107</v>
      </c>
      <c r="E17" t="s">
        <v>566</v>
      </c>
      <c r="F17">
        <v>51</v>
      </c>
      <c r="G17">
        <v>1955</v>
      </c>
      <c r="H17">
        <v>180</v>
      </c>
      <c r="I17">
        <v>21.064</v>
      </c>
      <c r="J17">
        <v>1041.23</v>
      </c>
      <c r="K17">
        <v>269</v>
      </c>
    </row>
    <row r="18" spans="1:11">
      <c r="A18">
        <v>14008</v>
      </c>
      <c r="B18" t="s">
        <v>575</v>
      </c>
      <c r="C18" t="s">
        <v>576</v>
      </c>
      <c r="E18" t="s">
        <v>161</v>
      </c>
      <c r="F18">
        <v>30</v>
      </c>
      <c r="G18">
        <v>1978</v>
      </c>
      <c r="H18">
        <v>20</v>
      </c>
      <c r="I18">
        <v>45</v>
      </c>
      <c r="J18">
        <v>3114.0909999999999</v>
      </c>
      <c r="K18">
        <v>1598</v>
      </c>
    </row>
    <row r="19" spans="1:11">
      <c r="A19">
        <v>23233</v>
      </c>
      <c r="B19" t="s">
        <v>1494</v>
      </c>
      <c r="C19" t="s">
        <v>1495</v>
      </c>
      <c r="D19" t="s">
        <v>657</v>
      </c>
      <c r="E19" t="s">
        <v>729</v>
      </c>
      <c r="F19">
        <v>74</v>
      </c>
      <c r="G19">
        <v>2012</v>
      </c>
      <c r="H19">
        <v>598</v>
      </c>
      <c r="I19">
        <v>0</v>
      </c>
      <c r="J19">
        <v>0</v>
      </c>
      <c r="K19">
        <v>0</v>
      </c>
    </row>
    <row r="20" spans="1:11">
      <c r="A20">
        <v>23232</v>
      </c>
      <c r="B20" t="s">
        <v>1494</v>
      </c>
      <c r="C20" t="s">
        <v>1496</v>
      </c>
      <c r="D20" t="s">
        <v>657</v>
      </c>
      <c r="E20" t="s">
        <v>729</v>
      </c>
      <c r="F20">
        <v>74</v>
      </c>
      <c r="G20">
        <v>2009</v>
      </c>
      <c r="H20">
        <v>481</v>
      </c>
      <c r="I20">
        <v>3</v>
      </c>
      <c r="J20">
        <v>107.961</v>
      </c>
      <c r="K20">
        <v>0</v>
      </c>
    </row>
    <row r="21" spans="1:11">
      <c r="A21">
        <v>17060</v>
      </c>
      <c r="B21" t="s">
        <v>580</v>
      </c>
      <c r="C21" t="s">
        <v>582</v>
      </c>
      <c r="E21" t="s">
        <v>155</v>
      </c>
      <c r="F21">
        <v>22</v>
      </c>
      <c r="G21">
        <v>2004</v>
      </c>
      <c r="H21">
        <v>295</v>
      </c>
      <c r="I21">
        <v>14.781000000000001</v>
      </c>
      <c r="J21">
        <v>475.14</v>
      </c>
      <c r="K21">
        <v>0</v>
      </c>
    </row>
    <row r="22" spans="1:11">
      <c r="A22">
        <v>24505</v>
      </c>
      <c r="B22" t="s">
        <v>1497</v>
      </c>
      <c r="C22" t="s">
        <v>710</v>
      </c>
      <c r="D22" t="s">
        <v>107</v>
      </c>
      <c r="E22" t="s">
        <v>841</v>
      </c>
      <c r="F22">
        <v>83</v>
      </c>
      <c r="G22">
        <v>1977</v>
      </c>
      <c r="H22">
        <v>399</v>
      </c>
      <c r="I22">
        <v>6.2809999999999997</v>
      </c>
      <c r="J22">
        <v>215.99700000000001</v>
      </c>
      <c r="K22">
        <v>0</v>
      </c>
    </row>
    <row r="23" spans="1:11">
      <c r="A23">
        <v>18033</v>
      </c>
      <c r="B23" t="s">
        <v>587</v>
      </c>
      <c r="C23" t="s">
        <v>559</v>
      </c>
      <c r="E23" t="s">
        <v>548</v>
      </c>
      <c r="F23">
        <v>81</v>
      </c>
      <c r="G23">
        <v>1999</v>
      </c>
      <c r="H23">
        <v>599</v>
      </c>
      <c r="I23">
        <v>0</v>
      </c>
      <c r="J23">
        <v>0</v>
      </c>
      <c r="K23">
        <v>0</v>
      </c>
    </row>
    <row r="24" spans="1:11">
      <c r="A24">
        <v>16049</v>
      </c>
      <c r="B24" t="s">
        <v>588</v>
      </c>
      <c r="C24" t="s">
        <v>559</v>
      </c>
      <c r="E24" t="s">
        <v>548</v>
      </c>
      <c r="F24">
        <v>81</v>
      </c>
      <c r="G24">
        <v>1973</v>
      </c>
      <c r="H24">
        <v>342</v>
      </c>
      <c r="I24">
        <v>7.9379999999999997</v>
      </c>
      <c r="J24">
        <v>324.69200000000001</v>
      </c>
      <c r="K24">
        <v>25</v>
      </c>
    </row>
    <row r="25" spans="1:11">
      <c r="A25">
        <v>21012</v>
      </c>
      <c r="B25" t="s">
        <v>1498</v>
      </c>
      <c r="C25" t="s">
        <v>1145</v>
      </c>
      <c r="E25" t="s">
        <v>548</v>
      </c>
      <c r="F25">
        <v>81</v>
      </c>
      <c r="G25">
        <v>1973</v>
      </c>
      <c r="H25">
        <v>341</v>
      </c>
      <c r="I25">
        <v>8.3140000000000001</v>
      </c>
      <c r="J25">
        <v>325.73700000000002</v>
      </c>
      <c r="K25">
        <v>25</v>
      </c>
    </row>
    <row r="26" spans="1:11">
      <c r="A26">
        <v>23217</v>
      </c>
      <c r="B26" t="s">
        <v>1499</v>
      </c>
      <c r="C26" t="s">
        <v>664</v>
      </c>
      <c r="E26" t="s">
        <v>1349</v>
      </c>
      <c r="F26">
        <v>96</v>
      </c>
      <c r="G26">
        <v>1959</v>
      </c>
      <c r="H26">
        <v>144</v>
      </c>
      <c r="I26">
        <v>18.626000000000001</v>
      </c>
      <c r="J26">
        <v>1296.0160000000001</v>
      </c>
      <c r="K26">
        <v>603</v>
      </c>
    </row>
    <row r="27" spans="1:11">
      <c r="A27">
        <v>28005</v>
      </c>
      <c r="B27" t="s">
        <v>591</v>
      </c>
      <c r="C27" t="s">
        <v>582</v>
      </c>
      <c r="E27" t="s">
        <v>592</v>
      </c>
      <c r="F27">
        <v>2</v>
      </c>
      <c r="G27">
        <v>1953</v>
      </c>
      <c r="H27">
        <v>125</v>
      </c>
      <c r="I27">
        <v>21.157</v>
      </c>
      <c r="J27">
        <v>1488.7639999999999</v>
      </c>
      <c r="K27">
        <v>608</v>
      </c>
    </row>
    <row r="28" spans="1:11">
      <c r="A28">
        <v>28056</v>
      </c>
      <c r="B28" t="s">
        <v>593</v>
      </c>
      <c r="C28" t="s">
        <v>594</v>
      </c>
      <c r="D28" t="s">
        <v>107</v>
      </c>
      <c r="E28" t="s">
        <v>592</v>
      </c>
      <c r="F28">
        <v>2</v>
      </c>
      <c r="G28">
        <v>1952</v>
      </c>
      <c r="H28">
        <v>197</v>
      </c>
      <c r="I28">
        <v>15.627000000000001</v>
      </c>
      <c r="J28">
        <v>950.38499999999999</v>
      </c>
      <c r="K28">
        <v>278</v>
      </c>
    </row>
    <row r="29" spans="1:11">
      <c r="A29">
        <v>21064</v>
      </c>
      <c r="B29" t="s">
        <v>1500</v>
      </c>
      <c r="C29" t="s">
        <v>554</v>
      </c>
      <c r="E29" t="s">
        <v>747</v>
      </c>
      <c r="F29">
        <v>68</v>
      </c>
      <c r="G29">
        <v>1978</v>
      </c>
      <c r="H29">
        <v>348</v>
      </c>
      <c r="I29">
        <v>4.4379999999999997</v>
      </c>
      <c r="J29">
        <v>318.91399999999999</v>
      </c>
      <c r="K29">
        <v>141</v>
      </c>
    </row>
    <row r="30" spans="1:11">
      <c r="A30">
        <v>21009</v>
      </c>
      <c r="B30" t="s">
        <v>1500</v>
      </c>
      <c r="C30" t="s">
        <v>1501</v>
      </c>
      <c r="E30" t="s">
        <v>747</v>
      </c>
      <c r="F30">
        <v>68</v>
      </c>
      <c r="G30">
        <v>1992</v>
      </c>
      <c r="H30">
        <v>562</v>
      </c>
      <c r="I30">
        <v>0.93799999999999994</v>
      </c>
      <c r="J30">
        <v>29.530999999999999</v>
      </c>
      <c r="K30">
        <v>0</v>
      </c>
    </row>
    <row r="31" spans="1:11">
      <c r="A31">
        <v>19023</v>
      </c>
      <c r="B31" t="s">
        <v>595</v>
      </c>
      <c r="C31" t="s">
        <v>596</v>
      </c>
      <c r="D31" t="s">
        <v>107</v>
      </c>
      <c r="E31" t="s">
        <v>566</v>
      </c>
      <c r="F31">
        <v>51</v>
      </c>
      <c r="G31">
        <v>1956</v>
      </c>
      <c r="H31">
        <v>90</v>
      </c>
      <c r="I31">
        <v>24.157</v>
      </c>
      <c r="J31">
        <v>1885.434</v>
      </c>
      <c r="K31">
        <v>901</v>
      </c>
    </row>
    <row r="32" spans="1:11">
      <c r="A32">
        <v>12030</v>
      </c>
      <c r="B32" t="s">
        <v>600</v>
      </c>
      <c r="C32" t="s">
        <v>601</v>
      </c>
      <c r="D32" t="s">
        <v>107</v>
      </c>
      <c r="E32" t="s">
        <v>599</v>
      </c>
      <c r="F32">
        <v>73</v>
      </c>
      <c r="G32">
        <v>1948</v>
      </c>
      <c r="H32">
        <v>379</v>
      </c>
      <c r="I32">
        <v>3.125</v>
      </c>
      <c r="J32">
        <v>257.09699999999998</v>
      </c>
      <c r="K32">
        <v>107</v>
      </c>
    </row>
    <row r="33" spans="1:11">
      <c r="A33">
        <v>22161</v>
      </c>
      <c r="B33" t="s">
        <v>1502</v>
      </c>
      <c r="C33" t="s">
        <v>1503</v>
      </c>
      <c r="E33" t="s">
        <v>792</v>
      </c>
      <c r="F33">
        <v>93</v>
      </c>
      <c r="G33">
        <v>2006</v>
      </c>
      <c r="H33">
        <v>442</v>
      </c>
      <c r="I33">
        <v>1.2190000000000001</v>
      </c>
      <c r="J33">
        <v>154.03100000000001</v>
      </c>
      <c r="K33">
        <v>87</v>
      </c>
    </row>
    <row r="34" spans="1:11">
      <c r="A34">
        <v>14081</v>
      </c>
      <c r="B34" t="s">
        <v>603</v>
      </c>
      <c r="C34" t="s">
        <v>604</v>
      </c>
      <c r="D34" t="s">
        <v>107</v>
      </c>
      <c r="E34" t="s">
        <v>553</v>
      </c>
      <c r="F34">
        <v>79</v>
      </c>
      <c r="G34">
        <v>1982</v>
      </c>
      <c r="H34">
        <v>425</v>
      </c>
      <c r="I34">
        <v>3.0310000000000001</v>
      </c>
      <c r="J34">
        <v>166.7</v>
      </c>
      <c r="K34">
        <v>34</v>
      </c>
    </row>
    <row r="35" spans="1:11">
      <c r="A35">
        <v>10076</v>
      </c>
      <c r="B35" t="s">
        <v>607</v>
      </c>
      <c r="C35" t="s">
        <v>608</v>
      </c>
      <c r="E35" t="s">
        <v>584</v>
      </c>
      <c r="F35">
        <v>69</v>
      </c>
      <c r="G35">
        <v>1947</v>
      </c>
      <c r="H35">
        <v>512</v>
      </c>
      <c r="I35">
        <v>1.7809999999999999</v>
      </c>
      <c r="J35">
        <v>79.334999999999994</v>
      </c>
      <c r="K35">
        <v>43</v>
      </c>
    </row>
    <row r="36" spans="1:11">
      <c r="A36">
        <v>23230</v>
      </c>
      <c r="B36" t="s">
        <v>1504</v>
      </c>
      <c r="C36" t="s">
        <v>608</v>
      </c>
      <c r="E36" t="s">
        <v>501</v>
      </c>
      <c r="F36">
        <v>64</v>
      </c>
      <c r="G36">
        <v>1952</v>
      </c>
      <c r="H36">
        <v>574</v>
      </c>
      <c r="I36">
        <v>0.625</v>
      </c>
      <c r="J36">
        <v>19.381</v>
      </c>
      <c r="K36">
        <v>0</v>
      </c>
    </row>
    <row r="37" spans="1:11">
      <c r="A37">
        <v>16002</v>
      </c>
      <c r="B37" t="s">
        <v>611</v>
      </c>
      <c r="C37" t="s">
        <v>554</v>
      </c>
      <c r="E37" t="s">
        <v>612</v>
      </c>
      <c r="F37">
        <v>62</v>
      </c>
      <c r="G37">
        <v>1978</v>
      </c>
      <c r="H37">
        <v>577</v>
      </c>
      <c r="I37">
        <v>0.75</v>
      </c>
      <c r="J37">
        <v>18.617000000000001</v>
      </c>
      <c r="K37">
        <v>0</v>
      </c>
    </row>
    <row r="38" spans="1:11">
      <c r="A38">
        <v>23259</v>
      </c>
      <c r="B38" t="s">
        <v>1505</v>
      </c>
      <c r="C38" t="s">
        <v>690</v>
      </c>
      <c r="D38" t="s">
        <v>657</v>
      </c>
      <c r="E38" t="s">
        <v>597</v>
      </c>
      <c r="F38">
        <v>95</v>
      </c>
      <c r="G38">
        <v>2007</v>
      </c>
      <c r="H38">
        <v>600</v>
      </c>
      <c r="I38">
        <v>0</v>
      </c>
      <c r="J38">
        <v>0</v>
      </c>
      <c r="K38">
        <v>0</v>
      </c>
    </row>
    <row r="39" spans="1:11">
      <c r="A39">
        <v>23258</v>
      </c>
      <c r="B39" t="s">
        <v>1506</v>
      </c>
      <c r="C39" t="s">
        <v>959</v>
      </c>
      <c r="D39" t="s">
        <v>91</v>
      </c>
      <c r="E39" t="s">
        <v>597</v>
      </c>
      <c r="F39">
        <v>95</v>
      </c>
      <c r="G39">
        <v>2009</v>
      </c>
      <c r="H39">
        <v>396</v>
      </c>
      <c r="I39">
        <v>6.7510000000000003</v>
      </c>
      <c r="J39">
        <v>222.899</v>
      </c>
      <c r="K39">
        <v>0</v>
      </c>
    </row>
    <row r="40" spans="1:11">
      <c r="A40">
        <v>22183</v>
      </c>
      <c r="B40" t="s">
        <v>1507</v>
      </c>
      <c r="C40" t="s">
        <v>1508</v>
      </c>
      <c r="D40" t="s">
        <v>91</v>
      </c>
      <c r="E40" t="s">
        <v>1509</v>
      </c>
      <c r="F40">
        <v>100</v>
      </c>
      <c r="G40">
        <v>2012</v>
      </c>
      <c r="H40">
        <v>59</v>
      </c>
      <c r="I40">
        <v>37.5</v>
      </c>
      <c r="J40">
        <v>2197.7869999999998</v>
      </c>
      <c r="K40">
        <v>878</v>
      </c>
    </row>
    <row r="41" spans="1:11">
      <c r="A41">
        <v>22181</v>
      </c>
      <c r="B41" t="s">
        <v>1507</v>
      </c>
      <c r="C41" t="s">
        <v>1510</v>
      </c>
      <c r="E41" t="s">
        <v>1509</v>
      </c>
      <c r="F41">
        <v>100</v>
      </c>
      <c r="G41">
        <v>1964</v>
      </c>
      <c r="H41">
        <v>48</v>
      </c>
      <c r="I41">
        <v>35.375</v>
      </c>
      <c r="J41">
        <v>2385.0079999999998</v>
      </c>
      <c r="K41">
        <v>1055</v>
      </c>
    </row>
    <row r="42" spans="1:11">
      <c r="A42">
        <v>16050</v>
      </c>
      <c r="B42" t="s">
        <v>614</v>
      </c>
      <c r="C42" t="s">
        <v>615</v>
      </c>
      <c r="E42" t="s">
        <v>548</v>
      </c>
      <c r="F42">
        <v>81</v>
      </c>
      <c r="G42">
        <v>1958</v>
      </c>
      <c r="H42">
        <v>401</v>
      </c>
      <c r="I42">
        <v>5.2510000000000003</v>
      </c>
      <c r="J42">
        <v>212.232</v>
      </c>
      <c r="K42">
        <v>25</v>
      </c>
    </row>
    <row r="43" spans="1:11">
      <c r="A43">
        <v>13055</v>
      </c>
      <c r="B43" t="s">
        <v>617</v>
      </c>
      <c r="C43" t="s">
        <v>569</v>
      </c>
      <c r="E43" t="s">
        <v>161</v>
      </c>
      <c r="F43">
        <v>30</v>
      </c>
      <c r="G43">
        <v>1971</v>
      </c>
      <c r="H43">
        <v>375</v>
      </c>
      <c r="I43">
        <v>7.5</v>
      </c>
      <c r="J43">
        <v>270.99</v>
      </c>
      <c r="K43">
        <v>0</v>
      </c>
    </row>
    <row r="44" spans="1:11">
      <c r="A44">
        <v>14078</v>
      </c>
      <c r="B44" t="s">
        <v>618</v>
      </c>
      <c r="C44" t="s">
        <v>569</v>
      </c>
      <c r="E44" t="s">
        <v>553</v>
      </c>
      <c r="F44">
        <v>79</v>
      </c>
      <c r="G44">
        <v>1985</v>
      </c>
      <c r="H44">
        <v>601</v>
      </c>
      <c r="I44">
        <v>0</v>
      </c>
      <c r="J44">
        <v>0</v>
      </c>
      <c r="K44">
        <v>0</v>
      </c>
    </row>
    <row r="45" spans="1:11">
      <c r="A45">
        <v>23205</v>
      </c>
      <c r="B45" t="s">
        <v>619</v>
      </c>
      <c r="C45" t="s">
        <v>1041</v>
      </c>
      <c r="D45" t="s">
        <v>91</v>
      </c>
      <c r="E45" t="s">
        <v>792</v>
      </c>
      <c r="F45">
        <v>93</v>
      </c>
      <c r="G45">
        <v>2007</v>
      </c>
      <c r="H45">
        <v>602</v>
      </c>
      <c r="I45">
        <v>0</v>
      </c>
      <c r="J45">
        <v>0</v>
      </c>
      <c r="K45">
        <v>0</v>
      </c>
    </row>
    <row r="46" spans="1:11">
      <c r="A46">
        <v>23049</v>
      </c>
      <c r="B46" t="s">
        <v>1511</v>
      </c>
      <c r="C46" t="s">
        <v>598</v>
      </c>
      <c r="E46" t="s">
        <v>528</v>
      </c>
      <c r="F46">
        <v>44</v>
      </c>
      <c r="G46">
        <v>1985</v>
      </c>
      <c r="H46">
        <v>603</v>
      </c>
      <c r="I46">
        <v>0</v>
      </c>
      <c r="J46">
        <v>0</v>
      </c>
      <c r="K46">
        <v>0</v>
      </c>
    </row>
    <row r="47" spans="1:11">
      <c r="A47">
        <v>26011</v>
      </c>
      <c r="B47" t="s">
        <v>623</v>
      </c>
      <c r="C47" t="s">
        <v>615</v>
      </c>
      <c r="E47" t="s">
        <v>513</v>
      </c>
      <c r="F47">
        <v>1</v>
      </c>
      <c r="G47">
        <v>1987</v>
      </c>
      <c r="H47">
        <v>29</v>
      </c>
      <c r="I47">
        <v>39.5</v>
      </c>
      <c r="J47">
        <v>2838.2959999999998</v>
      </c>
      <c r="K47">
        <v>1455</v>
      </c>
    </row>
    <row r="48" spans="1:11">
      <c r="A48">
        <v>16143</v>
      </c>
      <c r="B48" t="s">
        <v>1512</v>
      </c>
      <c r="C48" t="s">
        <v>690</v>
      </c>
      <c r="D48" t="s">
        <v>107</v>
      </c>
      <c r="E48" t="s">
        <v>546</v>
      </c>
      <c r="F48">
        <v>86</v>
      </c>
      <c r="G48">
        <v>1967</v>
      </c>
      <c r="H48">
        <v>604</v>
      </c>
      <c r="I48">
        <v>0</v>
      </c>
      <c r="J48">
        <v>0</v>
      </c>
      <c r="K48">
        <v>0</v>
      </c>
    </row>
    <row r="49" spans="1:11">
      <c r="A49">
        <v>11049</v>
      </c>
      <c r="B49" t="s">
        <v>625</v>
      </c>
      <c r="C49" t="s">
        <v>626</v>
      </c>
      <c r="E49" t="s">
        <v>513</v>
      </c>
      <c r="F49">
        <v>1</v>
      </c>
      <c r="G49">
        <v>1953</v>
      </c>
      <c r="H49">
        <v>336</v>
      </c>
      <c r="I49">
        <v>2.6869999999999998</v>
      </c>
      <c r="J49">
        <v>333.52699999999999</v>
      </c>
      <c r="K49">
        <v>207</v>
      </c>
    </row>
    <row r="50" spans="1:11">
      <c r="A50">
        <v>16033</v>
      </c>
      <c r="B50" t="s">
        <v>627</v>
      </c>
      <c r="C50" t="s">
        <v>602</v>
      </c>
      <c r="E50" t="s">
        <v>155</v>
      </c>
      <c r="F50">
        <v>22</v>
      </c>
      <c r="G50">
        <v>1977</v>
      </c>
      <c r="H50">
        <v>576</v>
      </c>
      <c r="I50">
        <v>0.65600000000000003</v>
      </c>
      <c r="J50">
        <v>18.899000000000001</v>
      </c>
      <c r="K50">
        <v>0</v>
      </c>
    </row>
    <row r="51" spans="1:11">
      <c r="A51">
        <v>96005</v>
      </c>
      <c r="B51" t="s">
        <v>629</v>
      </c>
      <c r="C51" t="s">
        <v>602</v>
      </c>
      <c r="E51" t="s">
        <v>504</v>
      </c>
      <c r="F51">
        <v>63</v>
      </c>
      <c r="G51">
        <v>1946</v>
      </c>
      <c r="H51">
        <v>176</v>
      </c>
      <c r="I51">
        <v>19.126000000000001</v>
      </c>
      <c r="J51">
        <v>1056.5909999999999</v>
      </c>
      <c r="K51">
        <v>293</v>
      </c>
    </row>
    <row r="52" spans="1:11">
      <c r="A52">
        <v>13006</v>
      </c>
      <c r="B52" t="s">
        <v>1513</v>
      </c>
      <c r="C52" t="s">
        <v>583</v>
      </c>
      <c r="E52" t="s">
        <v>630</v>
      </c>
      <c r="F52">
        <v>75</v>
      </c>
      <c r="G52">
        <v>1987</v>
      </c>
      <c r="H52">
        <v>605</v>
      </c>
      <c r="I52">
        <v>0</v>
      </c>
      <c r="J52">
        <v>0</v>
      </c>
      <c r="K52">
        <v>0</v>
      </c>
    </row>
    <row r="53" spans="1:11">
      <c r="A53">
        <v>13005</v>
      </c>
      <c r="B53" t="s">
        <v>1514</v>
      </c>
      <c r="C53" t="s">
        <v>583</v>
      </c>
      <c r="E53" t="s">
        <v>630</v>
      </c>
      <c r="F53">
        <v>75</v>
      </c>
      <c r="G53">
        <v>1963</v>
      </c>
      <c r="H53">
        <v>89</v>
      </c>
      <c r="I53">
        <v>31.22</v>
      </c>
      <c r="J53">
        <v>1895.664</v>
      </c>
      <c r="K53">
        <v>750</v>
      </c>
    </row>
    <row r="54" spans="1:11">
      <c r="A54">
        <v>20523</v>
      </c>
      <c r="B54" t="s">
        <v>631</v>
      </c>
      <c r="C54" t="s">
        <v>632</v>
      </c>
      <c r="D54" t="s">
        <v>107</v>
      </c>
      <c r="E54" t="s">
        <v>553</v>
      </c>
      <c r="F54">
        <v>79</v>
      </c>
      <c r="G54">
        <v>1988</v>
      </c>
      <c r="H54">
        <v>606</v>
      </c>
      <c r="I54">
        <v>0</v>
      </c>
      <c r="J54">
        <v>0</v>
      </c>
      <c r="K54">
        <v>0</v>
      </c>
    </row>
    <row r="55" spans="1:11">
      <c r="A55">
        <v>13007</v>
      </c>
      <c r="B55" t="s">
        <v>631</v>
      </c>
      <c r="C55" t="s">
        <v>633</v>
      </c>
      <c r="D55" t="s">
        <v>107</v>
      </c>
      <c r="E55" t="s">
        <v>630</v>
      </c>
      <c r="F55">
        <v>75</v>
      </c>
      <c r="G55">
        <v>1966</v>
      </c>
      <c r="H55">
        <v>99</v>
      </c>
      <c r="I55">
        <v>24.939</v>
      </c>
      <c r="J55">
        <v>1767.6579999999999</v>
      </c>
      <c r="K55">
        <v>791</v>
      </c>
    </row>
    <row r="56" spans="1:11">
      <c r="A56">
        <v>23228</v>
      </c>
      <c r="B56" t="s">
        <v>634</v>
      </c>
      <c r="C56" t="s">
        <v>635</v>
      </c>
      <c r="E56" t="s">
        <v>161</v>
      </c>
      <c r="F56">
        <v>30</v>
      </c>
      <c r="G56">
        <v>1996</v>
      </c>
      <c r="H56">
        <v>546</v>
      </c>
      <c r="I56">
        <v>1.375</v>
      </c>
      <c r="J56">
        <v>40.508000000000003</v>
      </c>
      <c r="K56">
        <v>0</v>
      </c>
    </row>
    <row r="57" spans="1:11">
      <c r="A57">
        <v>24546</v>
      </c>
      <c r="B57" t="s">
        <v>1515</v>
      </c>
      <c r="C57" t="s">
        <v>1516</v>
      </c>
      <c r="D57" t="s">
        <v>107</v>
      </c>
      <c r="E57" t="s">
        <v>678</v>
      </c>
      <c r="F57">
        <v>54</v>
      </c>
      <c r="G57">
        <v>1954</v>
      </c>
      <c r="H57">
        <v>608</v>
      </c>
      <c r="I57">
        <v>0</v>
      </c>
      <c r="J57">
        <v>0</v>
      </c>
      <c r="K57">
        <v>0</v>
      </c>
    </row>
    <row r="58" spans="1:11">
      <c r="A58">
        <v>24545</v>
      </c>
      <c r="B58" t="s">
        <v>1515</v>
      </c>
      <c r="C58" t="s">
        <v>1517</v>
      </c>
      <c r="E58" t="s">
        <v>678</v>
      </c>
      <c r="F58">
        <v>54</v>
      </c>
      <c r="G58">
        <v>1955</v>
      </c>
      <c r="H58">
        <v>607</v>
      </c>
      <c r="I58">
        <v>0</v>
      </c>
      <c r="J58">
        <v>0</v>
      </c>
      <c r="K58">
        <v>0</v>
      </c>
    </row>
    <row r="59" spans="1:11">
      <c r="A59">
        <v>20563</v>
      </c>
      <c r="B59" t="s">
        <v>636</v>
      </c>
      <c r="C59" t="s">
        <v>559</v>
      </c>
      <c r="E59" t="s">
        <v>637</v>
      </c>
      <c r="F59">
        <v>92</v>
      </c>
      <c r="G59">
        <v>1960</v>
      </c>
      <c r="H59">
        <v>404</v>
      </c>
      <c r="I59">
        <v>7.157</v>
      </c>
      <c r="J59">
        <v>207.65899999999999</v>
      </c>
      <c r="K59">
        <v>0</v>
      </c>
    </row>
    <row r="60" spans="1:11">
      <c r="A60">
        <v>20504</v>
      </c>
      <c r="B60" t="s">
        <v>638</v>
      </c>
      <c r="C60" t="s">
        <v>639</v>
      </c>
      <c r="E60" t="s">
        <v>198</v>
      </c>
      <c r="F60">
        <v>17</v>
      </c>
      <c r="G60">
        <v>1967</v>
      </c>
      <c r="H60">
        <v>36</v>
      </c>
      <c r="I60">
        <v>30.437999999999999</v>
      </c>
      <c r="J60">
        <v>2581.0909999999999</v>
      </c>
      <c r="K60">
        <v>1320</v>
      </c>
    </row>
    <row r="61" spans="1:11">
      <c r="A61">
        <v>20700</v>
      </c>
      <c r="B61" t="s">
        <v>640</v>
      </c>
      <c r="C61" t="s">
        <v>641</v>
      </c>
      <c r="D61" t="s">
        <v>107</v>
      </c>
      <c r="E61" t="s">
        <v>198</v>
      </c>
      <c r="F61">
        <v>17</v>
      </c>
      <c r="G61">
        <v>1970</v>
      </c>
      <c r="H61">
        <v>609</v>
      </c>
      <c r="I61">
        <v>0</v>
      </c>
      <c r="J61">
        <v>0</v>
      </c>
      <c r="K61">
        <v>0</v>
      </c>
    </row>
    <row r="62" spans="1:11">
      <c r="A62">
        <v>96034</v>
      </c>
      <c r="B62" t="s">
        <v>642</v>
      </c>
      <c r="C62" t="s">
        <v>589</v>
      </c>
      <c r="E62" t="s">
        <v>513</v>
      </c>
      <c r="F62">
        <v>1</v>
      </c>
      <c r="G62">
        <v>1966</v>
      </c>
      <c r="H62">
        <v>84</v>
      </c>
      <c r="I62">
        <v>28.812999999999999</v>
      </c>
      <c r="J62">
        <v>1954.9349999999999</v>
      </c>
      <c r="K62">
        <v>736</v>
      </c>
    </row>
    <row r="63" spans="1:11">
      <c r="A63">
        <v>13040</v>
      </c>
      <c r="B63" t="s">
        <v>642</v>
      </c>
      <c r="C63" t="s">
        <v>644</v>
      </c>
      <c r="E63" t="s">
        <v>513</v>
      </c>
      <c r="F63">
        <v>1</v>
      </c>
      <c r="G63">
        <v>2003</v>
      </c>
      <c r="H63">
        <v>43</v>
      </c>
      <c r="I63">
        <v>34.375</v>
      </c>
      <c r="J63">
        <v>2416.4209999999998</v>
      </c>
      <c r="K63">
        <v>1045</v>
      </c>
    </row>
    <row r="64" spans="1:11">
      <c r="A64">
        <v>96043</v>
      </c>
      <c r="B64" t="s">
        <v>645</v>
      </c>
      <c r="C64" t="s">
        <v>624</v>
      </c>
      <c r="D64" t="s">
        <v>107</v>
      </c>
      <c r="E64" t="s">
        <v>513</v>
      </c>
      <c r="F64">
        <v>1</v>
      </c>
      <c r="G64">
        <v>1973</v>
      </c>
      <c r="H64">
        <v>423</v>
      </c>
      <c r="I64">
        <v>6.3129999999999997</v>
      </c>
      <c r="J64">
        <v>178.696</v>
      </c>
      <c r="K64">
        <v>0</v>
      </c>
    </row>
    <row r="65" spans="1:11">
      <c r="A65">
        <v>26009</v>
      </c>
      <c r="B65" t="s">
        <v>646</v>
      </c>
      <c r="C65" t="s">
        <v>647</v>
      </c>
      <c r="E65" t="s">
        <v>513</v>
      </c>
      <c r="F65">
        <v>1</v>
      </c>
      <c r="G65">
        <v>1956</v>
      </c>
      <c r="H65">
        <v>307</v>
      </c>
      <c r="I65">
        <v>12.189</v>
      </c>
      <c r="J65">
        <v>434.56900000000002</v>
      </c>
      <c r="K65">
        <v>0</v>
      </c>
    </row>
    <row r="66" spans="1:11">
      <c r="A66">
        <v>28008</v>
      </c>
      <c r="B66" t="s">
        <v>648</v>
      </c>
      <c r="C66" t="s">
        <v>596</v>
      </c>
      <c r="D66" t="s">
        <v>107</v>
      </c>
      <c r="E66" t="s">
        <v>513</v>
      </c>
      <c r="F66">
        <v>1</v>
      </c>
      <c r="G66">
        <v>1956</v>
      </c>
      <c r="H66">
        <v>339</v>
      </c>
      <c r="I66">
        <v>9.0009999999999994</v>
      </c>
      <c r="J66">
        <v>329.77100000000002</v>
      </c>
      <c r="K66">
        <v>0</v>
      </c>
    </row>
    <row r="67" spans="1:11">
      <c r="A67">
        <v>96141</v>
      </c>
      <c r="B67" t="s">
        <v>649</v>
      </c>
      <c r="C67" t="s">
        <v>554</v>
      </c>
      <c r="E67" t="s">
        <v>650</v>
      </c>
      <c r="F67">
        <v>15</v>
      </c>
      <c r="G67">
        <v>1958</v>
      </c>
      <c r="H67">
        <v>610</v>
      </c>
      <c r="I67">
        <v>0</v>
      </c>
      <c r="J67">
        <v>0</v>
      </c>
      <c r="K67">
        <v>0</v>
      </c>
    </row>
    <row r="68" spans="1:11">
      <c r="A68">
        <v>96181</v>
      </c>
      <c r="B68" t="s">
        <v>651</v>
      </c>
      <c r="C68" t="s">
        <v>616</v>
      </c>
      <c r="D68" t="s">
        <v>107</v>
      </c>
      <c r="E68" t="s">
        <v>515</v>
      </c>
      <c r="F68">
        <v>13</v>
      </c>
      <c r="G68">
        <v>1961</v>
      </c>
      <c r="H68">
        <v>581</v>
      </c>
      <c r="I68">
        <v>0.78100000000000003</v>
      </c>
      <c r="J68">
        <v>17.783000000000001</v>
      </c>
      <c r="K68">
        <v>0</v>
      </c>
    </row>
    <row r="69" spans="1:11">
      <c r="A69">
        <v>20610</v>
      </c>
      <c r="B69" t="s">
        <v>652</v>
      </c>
      <c r="C69" t="s">
        <v>644</v>
      </c>
      <c r="E69" t="s">
        <v>597</v>
      </c>
      <c r="F69">
        <v>95</v>
      </c>
      <c r="G69">
        <v>1988</v>
      </c>
      <c r="H69">
        <v>611</v>
      </c>
      <c r="I69">
        <v>0</v>
      </c>
      <c r="J69">
        <v>0</v>
      </c>
      <c r="K69">
        <v>0</v>
      </c>
    </row>
    <row r="70" spans="1:11">
      <c r="A70">
        <v>24520</v>
      </c>
      <c r="B70" t="s">
        <v>1518</v>
      </c>
      <c r="C70" t="s">
        <v>745</v>
      </c>
      <c r="D70" t="s">
        <v>91</v>
      </c>
      <c r="E70" t="s">
        <v>513</v>
      </c>
      <c r="F70">
        <v>1</v>
      </c>
      <c r="G70">
        <v>2013</v>
      </c>
      <c r="H70">
        <v>612</v>
      </c>
      <c r="I70">
        <v>0</v>
      </c>
      <c r="J70">
        <v>0</v>
      </c>
      <c r="K70">
        <v>0</v>
      </c>
    </row>
    <row r="71" spans="1:11">
      <c r="A71">
        <v>13045</v>
      </c>
      <c r="B71" t="s">
        <v>653</v>
      </c>
      <c r="C71" t="s">
        <v>568</v>
      </c>
      <c r="E71" t="s">
        <v>507</v>
      </c>
      <c r="F71">
        <v>20</v>
      </c>
      <c r="G71">
        <v>1950</v>
      </c>
      <c r="H71">
        <v>418</v>
      </c>
      <c r="I71">
        <v>4.3440000000000003</v>
      </c>
      <c r="J71">
        <v>184.78200000000001</v>
      </c>
      <c r="K71">
        <v>0</v>
      </c>
    </row>
    <row r="72" spans="1:11">
      <c r="A72">
        <v>99505</v>
      </c>
      <c r="B72" t="s">
        <v>654</v>
      </c>
      <c r="C72" t="s">
        <v>554</v>
      </c>
      <c r="E72" t="s">
        <v>507</v>
      </c>
      <c r="F72">
        <v>20</v>
      </c>
      <c r="G72">
        <v>1966</v>
      </c>
      <c r="H72">
        <v>256</v>
      </c>
      <c r="I72">
        <v>10.000999999999999</v>
      </c>
      <c r="J72">
        <v>625.71600000000001</v>
      </c>
      <c r="K72">
        <v>168</v>
      </c>
    </row>
    <row r="73" spans="1:11">
      <c r="A73">
        <v>12002</v>
      </c>
      <c r="B73" t="s">
        <v>655</v>
      </c>
      <c r="C73" t="s">
        <v>554</v>
      </c>
      <c r="E73" t="s">
        <v>170</v>
      </c>
      <c r="F73">
        <v>14</v>
      </c>
      <c r="G73">
        <v>1994</v>
      </c>
      <c r="H73">
        <v>613</v>
      </c>
      <c r="I73">
        <v>0</v>
      </c>
      <c r="J73">
        <v>0</v>
      </c>
      <c r="K73">
        <v>0</v>
      </c>
    </row>
    <row r="74" spans="1:11">
      <c r="A74">
        <v>20714</v>
      </c>
      <c r="B74" t="s">
        <v>658</v>
      </c>
      <c r="C74" t="s">
        <v>572</v>
      </c>
      <c r="D74" t="s">
        <v>107</v>
      </c>
      <c r="E74" t="s">
        <v>507</v>
      </c>
      <c r="F74">
        <v>20</v>
      </c>
      <c r="G74">
        <v>1950</v>
      </c>
      <c r="H74">
        <v>427</v>
      </c>
      <c r="I74">
        <v>3.6259999999999999</v>
      </c>
      <c r="J74">
        <v>165.61699999999999</v>
      </c>
      <c r="K74">
        <v>0</v>
      </c>
    </row>
    <row r="75" spans="1:11">
      <c r="A75">
        <v>15011</v>
      </c>
      <c r="B75" t="s">
        <v>659</v>
      </c>
      <c r="C75" t="s">
        <v>660</v>
      </c>
      <c r="E75" t="s">
        <v>599</v>
      </c>
      <c r="F75">
        <v>73</v>
      </c>
      <c r="G75">
        <v>1965</v>
      </c>
      <c r="H75">
        <v>112</v>
      </c>
      <c r="I75">
        <v>20.094999999999999</v>
      </c>
      <c r="J75">
        <v>1604.498</v>
      </c>
      <c r="K75">
        <v>875</v>
      </c>
    </row>
    <row r="76" spans="1:11">
      <c r="A76">
        <v>15010</v>
      </c>
      <c r="B76" t="s">
        <v>661</v>
      </c>
      <c r="C76" t="s">
        <v>662</v>
      </c>
      <c r="D76" t="s">
        <v>107</v>
      </c>
      <c r="E76" t="s">
        <v>599</v>
      </c>
      <c r="F76">
        <v>73</v>
      </c>
      <c r="G76">
        <v>1952</v>
      </c>
      <c r="H76">
        <v>164</v>
      </c>
      <c r="I76">
        <v>18.501000000000001</v>
      </c>
      <c r="J76">
        <v>1155.4860000000001</v>
      </c>
      <c r="K76">
        <v>594</v>
      </c>
    </row>
    <row r="77" spans="1:11">
      <c r="A77">
        <v>16047</v>
      </c>
      <c r="B77" t="s">
        <v>663</v>
      </c>
      <c r="C77" t="s">
        <v>545</v>
      </c>
      <c r="E77" t="s">
        <v>548</v>
      </c>
      <c r="F77">
        <v>81</v>
      </c>
      <c r="G77">
        <v>1967</v>
      </c>
      <c r="H77">
        <v>402</v>
      </c>
      <c r="I77">
        <v>5.2510000000000003</v>
      </c>
      <c r="J77">
        <v>212.232</v>
      </c>
      <c r="K77">
        <v>25</v>
      </c>
    </row>
    <row r="78" spans="1:11">
      <c r="A78">
        <v>16048</v>
      </c>
      <c r="B78" t="s">
        <v>663</v>
      </c>
      <c r="C78" t="s">
        <v>664</v>
      </c>
      <c r="E78" t="s">
        <v>548</v>
      </c>
      <c r="F78">
        <v>81</v>
      </c>
      <c r="G78">
        <v>1991</v>
      </c>
      <c r="H78">
        <v>614</v>
      </c>
      <c r="I78">
        <v>0</v>
      </c>
      <c r="J78">
        <v>0</v>
      </c>
      <c r="K78">
        <v>0</v>
      </c>
    </row>
    <row r="79" spans="1:11">
      <c r="A79">
        <v>19021</v>
      </c>
      <c r="B79" t="s">
        <v>1519</v>
      </c>
      <c r="C79" t="s">
        <v>665</v>
      </c>
      <c r="E79" t="s">
        <v>170</v>
      </c>
      <c r="F79">
        <v>14</v>
      </c>
      <c r="G79">
        <v>1966</v>
      </c>
      <c r="H79">
        <v>160</v>
      </c>
      <c r="I79">
        <v>20.594999999999999</v>
      </c>
      <c r="J79">
        <v>1189.271</v>
      </c>
      <c r="K79">
        <v>438</v>
      </c>
    </row>
    <row r="80" spans="1:11">
      <c r="A80">
        <v>23214</v>
      </c>
      <c r="B80" t="s">
        <v>1520</v>
      </c>
      <c r="C80" t="s">
        <v>670</v>
      </c>
      <c r="E80" t="s">
        <v>597</v>
      </c>
      <c r="F80">
        <v>95</v>
      </c>
      <c r="G80">
        <v>1987</v>
      </c>
      <c r="H80">
        <v>615</v>
      </c>
      <c r="I80">
        <v>0</v>
      </c>
      <c r="J80">
        <v>0</v>
      </c>
      <c r="K80">
        <v>0</v>
      </c>
    </row>
    <row r="81" spans="1:11">
      <c r="A81">
        <v>10022</v>
      </c>
      <c r="B81" t="s">
        <v>668</v>
      </c>
      <c r="C81" t="s">
        <v>554</v>
      </c>
      <c r="E81" t="s">
        <v>520</v>
      </c>
      <c r="F81">
        <v>67</v>
      </c>
      <c r="G81">
        <v>1961</v>
      </c>
      <c r="H81">
        <v>463</v>
      </c>
      <c r="I81">
        <v>1.125</v>
      </c>
      <c r="J81">
        <v>134.69399999999999</v>
      </c>
      <c r="K81">
        <v>87</v>
      </c>
    </row>
    <row r="82" spans="1:11">
      <c r="A82">
        <v>14088</v>
      </c>
      <c r="B82" t="s">
        <v>669</v>
      </c>
      <c r="C82" t="s">
        <v>563</v>
      </c>
      <c r="D82" t="s">
        <v>107</v>
      </c>
      <c r="E82" t="s">
        <v>553</v>
      </c>
      <c r="F82">
        <v>79</v>
      </c>
      <c r="G82">
        <v>1984</v>
      </c>
      <c r="H82">
        <v>616</v>
      </c>
      <c r="I82">
        <v>0</v>
      </c>
      <c r="J82">
        <v>0</v>
      </c>
      <c r="K82">
        <v>0</v>
      </c>
    </row>
    <row r="83" spans="1:11">
      <c r="A83">
        <v>21041</v>
      </c>
      <c r="B83" t="s">
        <v>1521</v>
      </c>
      <c r="C83" t="s">
        <v>1522</v>
      </c>
      <c r="E83" t="s">
        <v>792</v>
      </c>
      <c r="F83">
        <v>93</v>
      </c>
      <c r="G83">
        <v>1962</v>
      </c>
      <c r="H83">
        <v>430</v>
      </c>
      <c r="I83">
        <v>4.97</v>
      </c>
      <c r="J83">
        <v>164.947</v>
      </c>
      <c r="K83">
        <v>0</v>
      </c>
    </row>
    <row r="84" spans="1:11">
      <c r="A84">
        <v>21042</v>
      </c>
      <c r="B84" t="s">
        <v>1523</v>
      </c>
      <c r="C84" t="s">
        <v>556</v>
      </c>
      <c r="D84" t="s">
        <v>107</v>
      </c>
      <c r="E84" t="s">
        <v>792</v>
      </c>
      <c r="F84">
        <v>93</v>
      </c>
      <c r="G84">
        <v>1967</v>
      </c>
      <c r="H84">
        <v>320</v>
      </c>
      <c r="I84">
        <v>9.8460000000000001</v>
      </c>
      <c r="J84">
        <v>395.12200000000001</v>
      </c>
      <c r="K84">
        <v>18</v>
      </c>
    </row>
    <row r="85" spans="1:11">
      <c r="A85">
        <v>19066</v>
      </c>
      <c r="B85" t="s">
        <v>672</v>
      </c>
      <c r="C85" t="s">
        <v>673</v>
      </c>
      <c r="E85" t="s">
        <v>163</v>
      </c>
      <c r="F85">
        <v>43</v>
      </c>
      <c r="G85">
        <v>1977</v>
      </c>
      <c r="H85">
        <v>475</v>
      </c>
      <c r="I85">
        <v>3.3130000000000002</v>
      </c>
      <c r="J85">
        <v>117.24299999999999</v>
      </c>
      <c r="K85">
        <v>0</v>
      </c>
    </row>
    <row r="86" spans="1:11">
      <c r="A86">
        <v>16018</v>
      </c>
      <c r="B86" t="s">
        <v>674</v>
      </c>
      <c r="C86" t="s">
        <v>602</v>
      </c>
      <c r="E86" t="s">
        <v>621</v>
      </c>
      <c r="F86">
        <v>28</v>
      </c>
      <c r="G86">
        <v>1966</v>
      </c>
      <c r="H86">
        <v>255</v>
      </c>
      <c r="I86">
        <v>18.533000000000001</v>
      </c>
      <c r="J86">
        <v>626.53700000000003</v>
      </c>
      <c r="K86">
        <v>0</v>
      </c>
    </row>
    <row r="87" spans="1:11">
      <c r="A87">
        <v>22106</v>
      </c>
      <c r="B87" t="s">
        <v>1524</v>
      </c>
      <c r="C87" t="s">
        <v>959</v>
      </c>
      <c r="E87" t="s">
        <v>571</v>
      </c>
      <c r="F87">
        <v>27</v>
      </c>
      <c r="G87">
        <v>2003</v>
      </c>
      <c r="H87">
        <v>75</v>
      </c>
      <c r="I87">
        <v>33.938000000000002</v>
      </c>
      <c r="J87">
        <v>2026.1869999999999</v>
      </c>
      <c r="K87">
        <v>708</v>
      </c>
    </row>
    <row r="88" spans="1:11">
      <c r="A88">
        <v>16035</v>
      </c>
      <c r="B88" t="s">
        <v>675</v>
      </c>
      <c r="C88" t="s">
        <v>676</v>
      </c>
      <c r="E88" t="s">
        <v>155</v>
      </c>
      <c r="F88">
        <v>22</v>
      </c>
      <c r="G88">
        <v>1970</v>
      </c>
      <c r="H88">
        <v>617</v>
      </c>
      <c r="I88">
        <v>0</v>
      </c>
      <c r="J88">
        <v>0</v>
      </c>
      <c r="K88">
        <v>0</v>
      </c>
    </row>
    <row r="89" spans="1:11">
      <c r="A89">
        <v>23238</v>
      </c>
      <c r="B89" t="s">
        <v>1525</v>
      </c>
      <c r="C89" t="s">
        <v>583</v>
      </c>
      <c r="E89" t="s">
        <v>548</v>
      </c>
      <c r="F89">
        <v>81</v>
      </c>
      <c r="G89">
        <v>1985</v>
      </c>
      <c r="H89">
        <v>196</v>
      </c>
      <c r="I89">
        <v>17.064</v>
      </c>
      <c r="J89">
        <v>967.82299999999998</v>
      </c>
      <c r="K89">
        <v>265</v>
      </c>
    </row>
    <row r="90" spans="1:11">
      <c r="A90">
        <v>99510</v>
      </c>
      <c r="B90" t="s">
        <v>677</v>
      </c>
      <c r="C90" t="s">
        <v>565</v>
      </c>
      <c r="E90" t="s">
        <v>678</v>
      </c>
      <c r="F90">
        <v>54</v>
      </c>
      <c r="G90">
        <v>1951</v>
      </c>
      <c r="H90">
        <v>93</v>
      </c>
      <c r="I90">
        <v>33.438000000000002</v>
      </c>
      <c r="J90">
        <v>1856.127</v>
      </c>
      <c r="K90">
        <v>740</v>
      </c>
    </row>
    <row r="91" spans="1:11">
      <c r="A91">
        <v>99574</v>
      </c>
      <c r="B91" t="s">
        <v>679</v>
      </c>
      <c r="C91" t="s">
        <v>680</v>
      </c>
      <c r="D91" t="s">
        <v>107</v>
      </c>
      <c r="E91" t="s">
        <v>678</v>
      </c>
      <c r="F91">
        <v>54</v>
      </c>
      <c r="G91">
        <v>1949</v>
      </c>
      <c r="H91">
        <v>18</v>
      </c>
      <c r="I91">
        <v>44.75</v>
      </c>
      <c r="J91">
        <v>3181.9189999999999</v>
      </c>
      <c r="K91">
        <v>1565</v>
      </c>
    </row>
    <row r="92" spans="1:11">
      <c r="A92">
        <v>23252</v>
      </c>
      <c r="B92" t="s">
        <v>1526</v>
      </c>
      <c r="C92" t="s">
        <v>557</v>
      </c>
      <c r="E92" t="s">
        <v>546</v>
      </c>
      <c r="F92">
        <v>86</v>
      </c>
      <c r="G92">
        <v>1994</v>
      </c>
      <c r="H92">
        <v>438</v>
      </c>
      <c r="I92">
        <v>2.125</v>
      </c>
      <c r="J92">
        <v>160.43799999999999</v>
      </c>
      <c r="K92">
        <v>60</v>
      </c>
    </row>
    <row r="93" spans="1:11">
      <c r="A93">
        <v>13027</v>
      </c>
      <c r="B93" t="s">
        <v>681</v>
      </c>
      <c r="C93" t="s">
        <v>616</v>
      </c>
      <c r="D93" t="s">
        <v>107</v>
      </c>
      <c r="E93" t="s">
        <v>501</v>
      </c>
      <c r="F93">
        <v>64</v>
      </c>
      <c r="G93">
        <v>1977</v>
      </c>
      <c r="H93">
        <v>50</v>
      </c>
      <c r="I93">
        <v>43.5</v>
      </c>
      <c r="J93">
        <v>2288.8359999999998</v>
      </c>
      <c r="K93">
        <v>872</v>
      </c>
    </row>
    <row r="94" spans="1:11">
      <c r="A94">
        <v>96100</v>
      </c>
      <c r="B94" t="s">
        <v>683</v>
      </c>
      <c r="C94" t="s">
        <v>620</v>
      </c>
      <c r="E94" t="s">
        <v>613</v>
      </c>
      <c r="F94">
        <v>24</v>
      </c>
      <c r="G94">
        <v>1968</v>
      </c>
      <c r="H94">
        <v>618</v>
      </c>
      <c r="I94">
        <v>0</v>
      </c>
      <c r="J94">
        <v>0</v>
      </c>
      <c r="K94">
        <v>0</v>
      </c>
    </row>
    <row r="95" spans="1:11">
      <c r="A95">
        <v>18004</v>
      </c>
      <c r="B95" t="s">
        <v>684</v>
      </c>
      <c r="C95" t="s">
        <v>582</v>
      </c>
      <c r="E95" t="s">
        <v>505</v>
      </c>
      <c r="F95">
        <v>89</v>
      </c>
      <c r="G95">
        <v>1980</v>
      </c>
      <c r="H95">
        <v>619</v>
      </c>
      <c r="I95">
        <v>0</v>
      </c>
      <c r="J95">
        <v>0</v>
      </c>
      <c r="K95">
        <v>0</v>
      </c>
    </row>
    <row r="96" spans="1:11">
      <c r="A96">
        <v>18055</v>
      </c>
      <c r="B96" t="s">
        <v>685</v>
      </c>
      <c r="C96" t="s">
        <v>583</v>
      </c>
      <c r="E96" t="s">
        <v>553</v>
      </c>
      <c r="F96">
        <v>79</v>
      </c>
      <c r="G96">
        <v>1975</v>
      </c>
      <c r="H96">
        <v>139</v>
      </c>
      <c r="I96">
        <v>20.439</v>
      </c>
      <c r="J96">
        <v>1334.98</v>
      </c>
      <c r="K96">
        <v>590</v>
      </c>
    </row>
    <row r="97" spans="1:11">
      <c r="A97">
        <v>28032</v>
      </c>
      <c r="B97" t="s">
        <v>688</v>
      </c>
      <c r="C97" t="s">
        <v>552</v>
      </c>
      <c r="E97" t="s">
        <v>612</v>
      </c>
      <c r="F97">
        <v>62</v>
      </c>
      <c r="G97">
        <v>1967</v>
      </c>
      <c r="H97">
        <v>443</v>
      </c>
      <c r="I97">
        <v>2.9380000000000002</v>
      </c>
      <c r="J97">
        <v>152.54599999999999</v>
      </c>
      <c r="K97">
        <v>57</v>
      </c>
    </row>
    <row r="98" spans="1:11">
      <c r="A98">
        <v>28031</v>
      </c>
      <c r="B98" t="s">
        <v>689</v>
      </c>
      <c r="C98" t="s">
        <v>690</v>
      </c>
      <c r="D98" t="s">
        <v>107</v>
      </c>
      <c r="E98" t="s">
        <v>612</v>
      </c>
      <c r="F98">
        <v>62</v>
      </c>
      <c r="G98">
        <v>1970</v>
      </c>
      <c r="H98">
        <v>356</v>
      </c>
      <c r="I98">
        <v>7.5629999999999997</v>
      </c>
      <c r="J98">
        <v>301.52600000000001</v>
      </c>
      <c r="K98">
        <v>57</v>
      </c>
    </row>
    <row r="99" spans="1:11">
      <c r="A99">
        <v>19070</v>
      </c>
      <c r="B99" t="s">
        <v>691</v>
      </c>
      <c r="C99" t="s">
        <v>692</v>
      </c>
      <c r="D99" t="s">
        <v>657</v>
      </c>
      <c r="E99" t="s">
        <v>505</v>
      </c>
      <c r="F99">
        <v>89</v>
      </c>
      <c r="G99">
        <v>2013</v>
      </c>
      <c r="H99">
        <v>472</v>
      </c>
      <c r="I99">
        <v>2.4700000000000002</v>
      </c>
      <c r="J99">
        <v>122.578</v>
      </c>
      <c r="K99">
        <v>27</v>
      </c>
    </row>
    <row r="100" spans="1:11">
      <c r="A100">
        <v>24540</v>
      </c>
      <c r="B100" t="s">
        <v>693</v>
      </c>
      <c r="C100" t="s">
        <v>694</v>
      </c>
      <c r="D100" t="s">
        <v>91</v>
      </c>
      <c r="E100" t="s">
        <v>505</v>
      </c>
      <c r="F100">
        <v>89</v>
      </c>
      <c r="G100">
        <v>2014</v>
      </c>
      <c r="H100">
        <v>620</v>
      </c>
      <c r="I100">
        <v>0</v>
      </c>
      <c r="J100">
        <v>0</v>
      </c>
      <c r="K100">
        <v>0</v>
      </c>
    </row>
    <row r="101" spans="1:11">
      <c r="A101">
        <v>22953</v>
      </c>
      <c r="B101" t="s">
        <v>695</v>
      </c>
      <c r="C101" t="s">
        <v>576</v>
      </c>
      <c r="E101" t="s">
        <v>170</v>
      </c>
      <c r="F101">
        <v>14</v>
      </c>
      <c r="G101">
        <v>1979</v>
      </c>
      <c r="H101">
        <v>565</v>
      </c>
      <c r="I101">
        <v>0.75</v>
      </c>
      <c r="J101">
        <v>28.494</v>
      </c>
      <c r="K101">
        <v>0</v>
      </c>
    </row>
    <row r="102" spans="1:11">
      <c r="A102">
        <v>99496</v>
      </c>
      <c r="B102" t="s">
        <v>695</v>
      </c>
      <c r="C102" t="s">
        <v>577</v>
      </c>
      <c r="E102" t="s">
        <v>170</v>
      </c>
      <c r="F102">
        <v>14</v>
      </c>
      <c r="G102">
        <v>1975</v>
      </c>
      <c r="H102">
        <v>218</v>
      </c>
      <c r="I102">
        <v>16.47</v>
      </c>
      <c r="J102">
        <v>801.63800000000003</v>
      </c>
      <c r="K102">
        <v>253</v>
      </c>
    </row>
    <row r="103" spans="1:11">
      <c r="A103">
        <v>24272</v>
      </c>
      <c r="B103" t="s">
        <v>695</v>
      </c>
      <c r="C103" t="s">
        <v>568</v>
      </c>
      <c r="E103" t="s">
        <v>170</v>
      </c>
      <c r="F103">
        <v>14</v>
      </c>
      <c r="G103">
        <v>1953</v>
      </c>
      <c r="H103">
        <v>393</v>
      </c>
      <c r="I103">
        <v>7.125</v>
      </c>
      <c r="J103">
        <v>226.40799999999999</v>
      </c>
      <c r="K103">
        <v>0</v>
      </c>
    </row>
    <row r="104" spans="1:11">
      <c r="A104">
        <v>22163</v>
      </c>
      <c r="B104" t="s">
        <v>696</v>
      </c>
      <c r="C104" t="s">
        <v>1527</v>
      </c>
      <c r="D104" t="s">
        <v>107</v>
      </c>
      <c r="E104" t="s">
        <v>170</v>
      </c>
      <c r="F104">
        <v>14</v>
      </c>
      <c r="G104">
        <v>1979</v>
      </c>
      <c r="H104">
        <v>621</v>
      </c>
      <c r="I104">
        <v>0</v>
      </c>
      <c r="J104">
        <v>0</v>
      </c>
      <c r="K104">
        <v>0</v>
      </c>
    </row>
    <row r="105" spans="1:11">
      <c r="A105">
        <v>17039</v>
      </c>
      <c r="B105" t="s">
        <v>696</v>
      </c>
      <c r="C105" t="s">
        <v>697</v>
      </c>
      <c r="D105" t="s">
        <v>107</v>
      </c>
      <c r="E105" t="s">
        <v>170</v>
      </c>
      <c r="F105">
        <v>14</v>
      </c>
      <c r="G105">
        <v>1976</v>
      </c>
      <c r="H105">
        <v>419</v>
      </c>
      <c r="I105">
        <v>7.5629999999999997</v>
      </c>
      <c r="J105">
        <v>184.61600000000001</v>
      </c>
      <c r="K105">
        <v>0</v>
      </c>
    </row>
    <row r="106" spans="1:11">
      <c r="A106">
        <v>17067</v>
      </c>
      <c r="B106" t="s">
        <v>698</v>
      </c>
      <c r="C106" t="s">
        <v>699</v>
      </c>
      <c r="D106" t="s">
        <v>107</v>
      </c>
      <c r="E106" t="s">
        <v>198</v>
      </c>
      <c r="F106">
        <v>17</v>
      </c>
      <c r="G106">
        <v>2006</v>
      </c>
      <c r="H106">
        <v>81</v>
      </c>
      <c r="I106">
        <v>28.375</v>
      </c>
      <c r="J106">
        <v>1960.5050000000001</v>
      </c>
      <c r="K106">
        <v>972</v>
      </c>
    </row>
    <row r="107" spans="1:11">
      <c r="A107">
        <v>24508</v>
      </c>
      <c r="B107" t="s">
        <v>1528</v>
      </c>
      <c r="C107" t="s">
        <v>1529</v>
      </c>
      <c r="D107" t="s">
        <v>91</v>
      </c>
      <c r="E107" t="s">
        <v>782</v>
      </c>
      <c r="F107">
        <v>90</v>
      </c>
      <c r="G107">
        <v>2013</v>
      </c>
      <c r="H107">
        <v>622</v>
      </c>
      <c r="I107">
        <v>0</v>
      </c>
      <c r="J107">
        <v>0</v>
      </c>
      <c r="K107">
        <v>0</v>
      </c>
    </row>
    <row r="108" spans="1:11">
      <c r="A108">
        <v>20519</v>
      </c>
      <c r="B108" t="s">
        <v>700</v>
      </c>
      <c r="C108" t="s">
        <v>559</v>
      </c>
      <c r="E108" t="s">
        <v>599</v>
      </c>
      <c r="F108">
        <v>73</v>
      </c>
      <c r="G108">
        <v>1945</v>
      </c>
      <c r="H108">
        <v>568</v>
      </c>
      <c r="I108">
        <v>0.625</v>
      </c>
      <c r="J108">
        <v>26.539000000000001</v>
      </c>
      <c r="K108">
        <v>0</v>
      </c>
    </row>
    <row r="109" spans="1:11">
      <c r="A109">
        <v>20528</v>
      </c>
      <c r="B109" t="s">
        <v>701</v>
      </c>
      <c r="C109" t="s">
        <v>702</v>
      </c>
      <c r="E109" t="s">
        <v>546</v>
      </c>
      <c r="F109">
        <v>86</v>
      </c>
      <c r="G109">
        <v>2005</v>
      </c>
      <c r="H109">
        <v>244</v>
      </c>
      <c r="I109">
        <v>6.8760000000000003</v>
      </c>
      <c r="J109">
        <v>690.33699999999999</v>
      </c>
      <c r="K109">
        <v>367</v>
      </c>
    </row>
    <row r="110" spans="1:11">
      <c r="A110">
        <v>21061</v>
      </c>
      <c r="B110" t="s">
        <v>704</v>
      </c>
      <c r="C110" t="s">
        <v>965</v>
      </c>
      <c r="D110" t="s">
        <v>657</v>
      </c>
      <c r="E110" t="s">
        <v>573</v>
      </c>
      <c r="F110">
        <v>16</v>
      </c>
      <c r="G110">
        <v>2009</v>
      </c>
      <c r="H110">
        <v>211</v>
      </c>
      <c r="I110">
        <v>19.72</v>
      </c>
      <c r="J110">
        <v>842.53599999999994</v>
      </c>
      <c r="K110">
        <v>127</v>
      </c>
    </row>
    <row r="111" spans="1:11">
      <c r="A111">
        <v>25042</v>
      </c>
      <c r="B111" t="s">
        <v>706</v>
      </c>
      <c r="C111" t="s">
        <v>608</v>
      </c>
      <c r="E111" t="s">
        <v>515</v>
      </c>
      <c r="F111">
        <v>13</v>
      </c>
      <c r="G111">
        <v>1983</v>
      </c>
      <c r="H111">
        <v>623</v>
      </c>
      <c r="I111">
        <v>0</v>
      </c>
      <c r="J111">
        <v>0</v>
      </c>
      <c r="K111">
        <v>0</v>
      </c>
    </row>
    <row r="112" spans="1:11">
      <c r="A112">
        <v>20571</v>
      </c>
      <c r="B112" t="s">
        <v>706</v>
      </c>
      <c r="C112" t="s">
        <v>707</v>
      </c>
      <c r="E112" t="s">
        <v>708</v>
      </c>
      <c r="F112">
        <v>66</v>
      </c>
      <c r="G112">
        <v>1944</v>
      </c>
      <c r="H112">
        <v>323</v>
      </c>
      <c r="I112">
        <v>6.9249999999999998</v>
      </c>
      <c r="J112">
        <v>368.476</v>
      </c>
      <c r="K112">
        <v>107</v>
      </c>
    </row>
    <row r="113" spans="1:11">
      <c r="A113">
        <v>21760</v>
      </c>
      <c r="B113" t="s">
        <v>709</v>
      </c>
      <c r="C113" t="s">
        <v>711</v>
      </c>
      <c r="D113" t="s">
        <v>107</v>
      </c>
      <c r="E113" t="s">
        <v>567</v>
      </c>
      <c r="F113">
        <v>29</v>
      </c>
      <c r="G113">
        <v>1967</v>
      </c>
      <c r="H113">
        <v>371</v>
      </c>
      <c r="I113">
        <v>7.5309999999999997</v>
      </c>
      <c r="J113">
        <v>275.43700000000001</v>
      </c>
      <c r="K113">
        <v>15</v>
      </c>
    </row>
    <row r="114" spans="1:11">
      <c r="A114">
        <v>28037</v>
      </c>
      <c r="B114" t="s">
        <v>709</v>
      </c>
      <c r="C114" t="s">
        <v>1530</v>
      </c>
      <c r="D114" t="s">
        <v>107</v>
      </c>
      <c r="E114" t="s">
        <v>156</v>
      </c>
      <c r="F114">
        <v>6</v>
      </c>
      <c r="G114">
        <v>1953</v>
      </c>
      <c r="H114">
        <v>587</v>
      </c>
      <c r="I114">
        <v>6.3E-2</v>
      </c>
      <c r="J114">
        <v>17.649999999999999</v>
      </c>
      <c r="K114">
        <v>15</v>
      </c>
    </row>
    <row r="115" spans="1:11">
      <c r="A115">
        <v>21043</v>
      </c>
      <c r="B115" t="s">
        <v>1531</v>
      </c>
      <c r="C115" t="s">
        <v>552</v>
      </c>
      <c r="E115" t="s">
        <v>597</v>
      </c>
      <c r="F115">
        <v>95</v>
      </c>
      <c r="G115">
        <v>1986</v>
      </c>
      <c r="H115">
        <v>486</v>
      </c>
      <c r="I115">
        <v>3.5</v>
      </c>
      <c r="J115">
        <v>105.11799999999999</v>
      </c>
      <c r="K115">
        <v>17</v>
      </c>
    </row>
    <row r="116" spans="1:11">
      <c r="A116">
        <v>22127</v>
      </c>
      <c r="B116" t="s">
        <v>712</v>
      </c>
      <c r="C116" t="s">
        <v>1532</v>
      </c>
      <c r="E116" t="s">
        <v>597</v>
      </c>
      <c r="F116">
        <v>95</v>
      </c>
      <c r="G116">
        <v>1963</v>
      </c>
      <c r="H116">
        <v>308</v>
      </c>
      <c r="I116">
        <v>8.0640000000000001</v>
      </c>
      <c r="J116">
        <v>429.48399999999998</v>
      </c>
      <c r="K116">
        <v>114</v>
      </c>
    </row>
    <row r="117" spans="1:11">
      <c r="A117">
        <v>20600</v>
      </c>
      <c r="B117" t="s">
        <v>712</v>
      </c>
      <c r="C117" t="s">
        <v>589</v>
      </c>
      <c r="E117" t="s">
        <v>597</v>
      </c>
      <c r="F117">
        <v>95</v>
      </c>
      <c r="G117">
        <v>1973</v>
      </c>
      <c r="H117">
        <v>267</v>
      </c>
      <c r="I117">
        <v>13.532</v>
      </c>
      <c r="J117">
        <v>587.52</v>
      </c>
      <c r="K117">
        <v>89</v>
      </c>
    </row>
    <row r="118" spans="1:11">
      <c r="A118">
        <v>17091</v>
      </c>
      <c r="B118" t="s">
        <v>713</v>
      </c>
      <c r="C118" t="s">
        <v>714</v>
      </c>
      <c r="D118" t="s">
        <v>107</v>
      </c>
      <c r="E118" t="s">
        <v>504</v>
      </c>
      <c r="F118">
        <v>63</v>
      </c>
      <c r="G118">
        <v>2000</v>
      </c>
      <c r="H118">
        <v>349</v>
      </c>
      <c r="I118">
        <v>9.8759999999999994</v>
      </c>
      <c r="J118">
        <v>316.40199999999999</v>
      </c>
      <c r="K118">
        <v>0</v>
      </c>
    </row>
    <row r="119" spans="1:11">
      <c r="A119">
        <v>17096</v>
      </c>
      <c r="B119" t="s">
        <v>715</v>
      </c>
      <c r="C119" t="s">
        <v>568</v>
      </c>
      <c r="E119" t="s">
        <v>504</v>
      </c>
      <c r="F119">
        <v>63</v>
      </c>
      <c r="G119">
        <v>1967</v>
      </c>
      <c r="H119">
        <v>212</v>
      </c>
      <c r="I119">
        <v>21.251000000000001</v>
      </c>
      <c r="J119">
        <v>833.84100000000001</v>
      </c>
      <c r="K119">
        <v>102</v>
      </c>
    </row>
    <row r="120" spans="1:11">
      <c r="A120">
        <v>27085</v>
      </c>
      <c r="B120" t="s">
        <v>716</v>
      </c>
      <c r="C120" t="s">
        <v>552</v>
      </c>
      <c r="E120" t="s">
        <v>613</v>
      </c>
      <c r="F120">
        <v>24</v>
      </c>
      <c r="G120">
        <v>1985</v>
      </c>
      <c r="H120">
        <v>545</v>
      </c>
      <c r="I120">
        <v>1.125</v>
      </c>
      <c r="J120">
        <v>43.441000000000003</v>
      </c>
      <c r="K120">
        <v>0</v>
      </c>
    </row>
    <row r="121" spans="1:11">
      <c r="A121">
        <v>15083</v>
      </c>
      <c r="B121" t="s">
        <v>717</v>
      </c>
      <c r="C121" t="s">
        <v>565</v>
      </c>
      <c r="E121" t="s">
        <v>592</v>
      </c>
      <c r="F121">
        <v>2</v>
      </c>
      <c r="G121">
        <v>1993</v>
      </c>
      <c r="H121">
        <v>334</v>
      </c>
      <c r="I121">
        <v>9.532</v>
      </c>
      <c r="J121">
        <v>341.94</v>
      </c>
      <c r="K121">
        <v>45</v>
      </c>
    </row>
    <row r="122" spans="1:11">
      <c r="A122">
        <v>21016</v>
      </c>
      <c r="B122" t="s">
        <v>1533</v>
      </c>
      <c r="C122" t="s">
        <v>802</v>
      </c>
      <c r="D122" t="s">
        <v>91</v>
      </c>
      <c r="E122" t="s">
        <v>584</v>
      </c>
      <c r="F122">
        <v>69</v>
      </c>
      <c r="G122">
        <v>2007</v>
      </c>
      <c r="H122">
        <v>624</v>
      </c>
      <c r="I122">
        <v>0</v>
      </c>
      <c r="J122">
        <v>0</v>
      </c>
      <c r="K122">
        <v>0</v>
      </c>
    </row>
    <row r="123" spans="1:11">
      <c r="A123">
        <v>96196</v>
      </c>
      <c r="B123" t="s">
        <v>718</v>
      </c>
      <c r="C123" t="s">
        <v>719</v>
      </c>
      <c r="E123" t="s">
        <v>515</v>
      </c>
      <c r="F123">
        <v>13</v>
      </c>
      <c r="G123">
        <v>1962</v>
      </c>
      <c r="H123">
        <v>478</v>
      </c>
      <c r="I123">
        <v>5</v>
      </c>
      <c r="J123">
        <v>113.81</v>
      </c>
      <c r="K123">
        <v>0</v>
      </c>
    </row>
    <row r="124" spans="1:11">
      <c r="A124">
        <v>21746</v>
      </c>
      <c r="B124" t="s">
        <v>720</v>
      </c>
      <c r="C124" t="s">
        <v>721</v>
      </c>
      <c r="D124" t="s">
        <v>107</v>
      </c>
      <c r="E124" t="s">
        <v>515</v>
      </c>
      <c r="F124">
        <v>13</v>
      </c>
      <c r="G124">
        <v>1990</v>
      </c>
      <c r="H124">
        <v>625</v>
      </c>
      <c r="I124">
        <v>0</v>
      </c>
      <c r="J124">
        <v>0</v>
      </c>
      <c r="K124">
        <v>0</v>
      </c>
    </row>
    <row r="125" spans="1:11">
      <c r="A125">
        <v>96190</v>
      </c>
      <c r="B125" t="s">
        <v>720</v>
      </c>
      <c r="C125" t="s">
        <v>722</v>
      </c>
      <c r="D125" t="s">
        <v>107</v>
      </c>
      <c r="E125" t="s">
        <v>515</v>
      </c>
      <c r="F125">
        <v>13</v>
      </c>
      <c r="G125">
        <v>1965</v>
      </c>
      <c r="H125">
        <v>582</v>
      </c>
      <c r="I125">
        <v>0.78100000000000003</v>
      </c>
      <c r="J125">
        <v>17.783000000000001</v>
      </c>
      <c r="K125">
        <v>0</v>
      </c>
    </row>
    <row r="126" spans="1:11">
      <c r="A126">
        <v>12020</v>
      </c>
      <c r="B126" t="s">
        <v>723</v>
      </c>
      <c r="C126" t="s">
        <v>582</v>
      </c>
      <c r="E126" t="s">
        <v>507</v>
      </c>
      <c r="F126">
        <v>20</v>
      </c>
      <c r="G126">
        <v>1962</v>
      </c>
      <c r="H126">
        <v>8</v>
      </c>
      <c r="I126">
        <v>47.75</v>
      </c>
      <c r="J126">
        <v>3796.5349999999999</v>
      </c>
      <c r="K126">
        <v>1835</v>
      </c>
    </row>
    <row r="127" spans="1:11">
      <c r="A127">
        <v>13044</v>
      </c>
      <c r="B127" t="s">
        <v>724</v>
      </c>
      <c r="C127" t="s">
        <v>633</v>
      </c>
      <c r="D127" t="s">
        <v>107</v>
      </c>
      <c r="E127" t="s">
        <v>507</v>
      </c>
      <c r="F127">
        <v>20</v>
      </c>
      <c r="G127">
        <v>1962</v>
      </c>
      <c r="H127">
        <v>58</v>
      </c>
      <c r="I127">
        <v>26.001000000000001</v>
      </c>
      <c r="J127">
        <v>2208.1179999999999</v>
      </c>
      <c r="K127">
        <v>1152</v>
      </c>
    </row>
    <row r="128" spans="1:11">
      <c r="A128">
        <v>16142</v>
      </c>
      <c r="B128" t="s">
        <v>725</v>
      </c>
      <c r="C128" t="s">
        <v>726</v>
      </c>
      <c r="E128" t="s">
        <v>504</v>
      </c>
      <c r="F128">
        <v>63</v>
      </c>
      <c r="G128">
        <v>1975</v>
      </c>
      <c r="H128">
        <v>297</v>
      </c>
      <c r="I128">
        <v>8.3439999999999994</v>
      </c>
      <c r="J128">
        <v>462.26900000000001</v>
      </c>
      <c r="K128">
        <v>158</v>
      </c>
    </row>
    <row r="129" spans="1:11">
      <c r="A129">
        <v>21014</v>
      </c>
      <c r="B129" t="s">
        <v>725</v>
      </c>
      <c r="C129" t="s">
        <v>1534</v>
      </c>
      <c r="D129" t="s">
        <v>91</v>
      </c>
      <c r="E129" t="s">
        <v>504</v>
      </c>
      <c r="F129">
        <v>63</v>
      </c>
      <c r="G129">
        <v>2012</v>
      </c>
      <c r="H129">
        <v>400</v>
      </c>
      <c r="I129">
        <v>4.282</v>
      </c>
      <c r="J129">
        <v>214.75</v>
      </c>
      <c r="K129">
        <v>56</v>
      </c>
    </row>
    <row r="130" spans="1:11">
      <c r="A130">
        <v>22169</v>
      </c>
      <c r="B130" t="s">
        <v>1535</v>
      </c>
      <c r="C130" t="s">
        <v>632</v>
      </c>
      <c r="D130" t="s">
        <v>657</v>
      </c>
      <c r="E130" t="s">
        <v>504</v>
      </c>
      <c r="F130">
        <v>63</v>
      </c>
      <c r="G130">
        <v>2014</v>
      </c>
      <c r="H130">
        <v>409</v>
      </c>
      <c r="I130">
        <v>4.0940000000000003</v>
      </c>
      <c r="J130">
        <v>199.08699999999999</v>
      </c>
      <c r="K130">
        <v>56</v>
      </c>
    </row>
    <row r="131" spans="1:11">
      <c r="A131">
        <v>11046</v>
      </c>
      <c r="B131" t="s">
        <v>727</v>
      </c>
      <c r="C131" t="s">
        <v>576</v>
      </c>
      <c r="E131" t="s">
        <v>170</v>
      </c>
      <c r="F131">
        <v>14</v>
      </c>
      <c r="G131">
        <v>1985</v>
      </c>
      <c r="H131">
        <v>31</v>
      </c>
      <c r="I131">
        <v>42.5</v>
      </c>
      <c r="J131">
        <v>2800.1759999999999</v>
      </c>
      <c r="K131">
        <v>1262</v>
      </c>
    </row>
    <row r="132" spans="1:11">
      <c r="A132">
        <v>13062</v>
      </c>
      <c r="B132" t="s">
        <v>728</v>
      </c>
      <c r="C132" t="s">
        <v>687</v>
      </c>
      <c r="E132" t="s">
        <v>797</v>
      </c>
      <c r="F132">
        <v>77</v>
      </c>
      <c r="G132">
        <v>1951</v>
      </c>
      <c r="H132">
        <v>455</v>
      </c>
      <c r="I132">
        <v>0.875</v>
      </c>
      <c r="J132">
        <v>143.63200000000001</v>
      </c>
      <c r="K132">
        <v>99</v>
      </c>
    </row>
    <row r="133" spans="1:11">
      <c r="A133">
        <v>12068</v>
      </c>
      <c r="B133" t="s">
        <v>728</v>
      </c>
      <c r="C133" t="s">
        <v>582</v>
      </c>
      <c r="E133" t="s">
        <v>797</v>
      </c>
      <c r="F133">
        <v>77</v>
      </c>
      <c r="G133">
        <v>1974</v>
      </c>
      <c r="H133">
        <v>414</v>
      </c>
      <c r="I133">
        <v>1.6559999999999999</v>
      </c>
      <c r="J133">
        <v>197.19399999999999</v>
      </c>
      <c r="K133">
        <v>114</v>
      </c>
    </row>
    <row r="134" spans="1:11">
      <c r="A134">
        <v>16034</v>
      </c>
      <c r="B134" t="s">
        <v>730</v>
      </c>
      <c r="C134" t="s">
        <v>582</v>
      </c>
      <c r="E134" t="s">
        <v>155</v>
      </c>
      <c r="F134">
        <v>22</v>
      </c>
      <c r="G134">
        <v>1970</v>
      </c>
      <c r="H134">
        <v>626</v>
      </c>
      <c r="I134">
        <v>0</v>
      </c>
      <c r="J134">
        <v>0</v>
      </c>
      <c r="K134">
        <v>0</v>
      </c>
    </row>
    <row r="135" spans="1:11">
      <c r="A135">
        <v>23131</v>
      </c>
      <c r="B135" t="s">
        <v>731</v>
      </c>
      <c r="C135" t="s">
        <v>608</v>
      </c>
      <c r="E135" t="s">
        <v>163</v>
      </c>
      <c r="F135">
        <v>43</v>
      </c>
      <c r="G135">
        <v>1954</v>
      </c>
      <c r="H135">
        <v>170</v>
      </c>
      <c r="I135">
        <v>23.562999999999999</v>
      </c>
      <c r="J135">
        <v>1111.653</v>
      </c>
      <c r="K135">
        <v>253</v>
      </c>
    </row>
    <row r="136" spans="1:11">
      <c r="A136">
        <v>11010</v>
      </c>
      <c r="B136" t="s">
        <v>732</v>
      </c>
      <c r="C136" t="s">
        <v>554</v>
      </c>
      <c r="E136" t="s">
        <v>528</v>
      </c>
      <c r="F136">
        <v>44</v>
      </c>
      <c r="G136">
        <v>1992</v>
      </c>
      <c r="H136">
        <v>561</v>
      </c>
      <c r="I136">
        <v>1.375</v>
      </c>
      <c r="J136">
        <v>30.347999999999999</v>
      </c>
      <c r="K136">
        <v>0</v>
      </c>
    </row>
    <row r="137" spans="1:11">
      <c r="A137">
        <v>11009</v>
      </c>
      <c r="B137" t="s">
        <v>732</v>
      </c>
      <c r="C137" t="s">
        <v>583</v>
      </c>
      <c r="E137" t="s">
        <v>528</v>
      </c>
      <c r="F137">
        <v>44</v>
      </c>
      <c r="G137">
        <v>1959</v>
      </c>
      <c r="H137">
        <v>106</v>
      </c>
      <c r="I137">
        <v>21.376000000000001</v>
      </c>
      <c r="J137">
        <v>1663.8969999999999</v>
      </c>
      <c r="K137">
        <v>801</v>
      </c>
    </row>
    <row r="138" spans="1:11">
      <c r="A138">
        <v>22017</v>
      </c>
      <c r="B138" t="s">
        <v>733</v>
      </c>
      <c r="C138" t="s">
        <v>1536</v>
      </c>
      <c r="E138" t="s">
        <v>198</v>
      </c>
      <c r="F138">
        <v>17</v>
      </c>
      <c r="G138">
        <v>1970</v>
      </c>
      <c r="H138">
        <v>207</v>
      </c>
      <c r="I138">
        <v>8.3130000000000006</v>
      </c>
      <c r="J138">
        <v>885.36699999999996</v>
      </c>
      <c r="K138">
        <v>468</v>
      </c>
    </row>
    <row r="139" spans="1:11">
      <c r="A139">
        <v>12001</v>
      </c>
      <c r="B139" t="s">
        <v>733</v>
      </c>
      <c r="C139" t="s">
        <v>734</v>
      </c>
      <c r="E139" t="s">
        <v>198</v>
      </c>
      <c r="F139">
        <v>17</v>
      </c>
      <c r="G139">
        <v>2003</v>
      </c>
      <c r="H139">
        <v>516</v>
      </c>
      <c r="I139">
        <v>1.8129999999999999</v>
      </c>
      <c r="J139">
        <v>76.322999999999993</v>
      </c>
      <c r="K139">
        <v>0</v>
      </c>
    </row>
    <row r="140" spans="1:11">
      <c r="A140">
        <v>18084</v>
      </c>
      <c r="B140" t="s">
        <v>735</v>
      </c>
      <c r="C140" t="s">
        <v>583</v>
      </c>
      <c r="E140" t="s">
        <v>505</v>
      </c>
      <c r="F140">
        <v>89</v>
      </c>
      <c r="G140">
        <v>1964</v>
      </c>
      <c r="H140">
        <v>345</v>
      </c>
      <c r="I140">
        <v>4.75</v>
      </c>
      <c r="J140">
        <v>321.947</v>
      </c>
      <c r="K140">
        <v>105</v>
      </c>
    </row>
    <row r="141" spans="1:11">
      <c r="A141">
        <v>24517</v>
      </c>
      <c r="B141" t="s">
        <v>1537</v>
      </c>
      <c r="C141" t="s">
        <v>759</v>
      </c>
      <c r="D141" t="s">
        <v>107</v>
      </c>
      <c r="E141" t="s">
        <v>597</v>
      </c>
      <c r="F141">
        <v>95</v>
      </c>
      <c r="G141">
        <v>1960</v>
      </c>
      <c r="H141">
        <v>422</v>
      </c>
      <c r="I141">
        <v>4.375</v>
      </c>
      <c r="J141">
        <v>178.94800000000001</v>
      </c>
      <c r="K141">
        <v>0</v>
      </c>
    </row>
    <row r="142" spans="1:11">
      <c r="A142">
        <v>18046</v>
      </c>
      <c r="B142" t="s">
        <v>737</v>
      </c>
      <c r="C142" t="s">
        <v>738</v>
      </c>
      <c r="E142" t="s">
        <v>584</v>
      </c>
      <c r="F142">
        <v>69</v>
      </c>
      <c r="G142">
        <v>1974</v>
      </c>
      <c r="H142">
        <v>338</v>
      </c>
      <c r="I142">
        <v>8.875</v>
      </c>
      <c r="J142">
        <v>330.24700000000001</v>
      </c>
      <c r="K142">
        <v>119</v>
      </c>
    </row>
    <row r="143" spans="1:11">
      <c r="A143">
        <v>20583</v>
      </c>
      <c r="B143" t="s">
        <v>740</v>
      </c>
      <c r="C143" t="s">
        <v>582</v>
      </c>
      <c r="E143" t="s">
        <v>597</v>
      </c>
      <c r="F143">
        <v>95</v>
      </c>
      <c r="G143">
        <v>1971</v>
      </c>
      <c r="H143">
        <v>487</v>
      </c>
      <c r="I143">
        <v>2.5470000000000002</v>
      </c>
      <c r="J143">
        <v>104.303</v>
      </c>
      <c r="K143">
        <v>15</v>
      </c>
    </row>
    <row r="144" spans="1:11">
      <c r="A144">
        <v>20602</v>
      </c>
      <c r="B144" t="s">
        <v>740</v>
      </c>
      <c r="C144" t="s">
        <v>741</v>
      </c>
      <c r="E144" t="s">
        <v>597</v>
      </c>
      <c r="F144">
        <v>95</v>
      </c>
      <c r="G144">
        <v>1970</v>
      </c>
      <c r="H144">
        <v>239</v>
      </c>
      <c r="I144">
        <v>18.657</v>
      </c>
      <c r="J144">
        <v>720.88499999999999</v>
      </c>
      <c r="K144">
        <v>75</v>
      </c>
    </row>
    <row r="145" spans="1:11">
      <c r="A145">
        <v>21073</v>
      </c>
      <c r="B145" t="s">
        <v>1538</v>
      </c>
      <c r="C145" t="s">
        <v>1539</v>
      </c>
      <c r="D145" t="s">
        <v>107</v>
      </c>
      <c r="E145" t="s">
        <v>163</v>
      </c>
      <c r="F145">
        <v>43</v>
      </c>
      <c r="G145">
        <v>1990</v>
      </c>
      <c r="H145">
        <v>501</v>
      </c>
      <c r="I145">
        <v>2.3759999999999999</v>
      </c>
      <c r="J145">
        <v>90.733000000000004</v>
      </c>
      <c r="K145">
        <v>0</v>
      </c>
    </row>
    <row r="146" spans="1:11">
      <c r="A146">
        <v>16120</v>
      </c>
      <c r="B146" t="s">
        <v>1540</v>
      </c>
      <c r="C146" t="s">
        <v>554</v>
      </c>
      <c r="D146" t="s">
        <v>91</v>
      </c>
      <c r="E146" t="s">
        <v>553</v>
      </c>
      <c r="F146">
        <v>79</v>
      </c>
      <c r="G146">
        <v>2009</v>
      </c>
      <c r="H146">
        <v>249</v>
      </c>
      <c r="I146">
        <v>12.282</v>
      </c>
      <c r="J146">
        <v>649.52599999999995</v>
      </c>
      <c r="K146">
        <v>157</v>
      </c>
    </row>
    <row r="147" spans="1:11">
      <c r="A147">
        <v>12086</v>
      </c>
      <c r="B147" t="s">
        <v>1541</v>
      </c>
      <c r="C147" t="s">
        <v>554</v>
      </c>
      <c r="E147" t="s">
        <v>501</v>
      </c>
      <c r="F147">
        <v>64</v>
      </c>
      <c r="G147">
        <v>1976</v>
      </c>
      <c r="H147">
        <v>55</v>
      </c>
      <c r="I147">
        <v>43.875</v>
      </c>
      <c r="J147">
        <v>2243.759</v>
      </c>
      <c r="K147">
        <v>470</v>
      </c>
    </row>
    <row r="148" spans="1:11">
      <c r="A148">
        <v>14074</v>
      </c>
      <c r="B148" t="s">
        <v>743</v>
      </c>
      <c r="C148" t="s">
        <v>624</v>
      </c>
      <c r="D148" t="s">
        <v>107</v>
      </c>
      <c r="E148" t="s">
        <v>507</v>
      </c>
      <c r="F148">
        <v>20</v>
      </c>
      <c r="G148">
        <v>1974</v>
      </c>
      <c r="H148">
        <v>38</v>
      </c>
      <c r="I148">
        <v>32.5</v>
      </c>
      <c r="J148">
        <v>2497.41</v>
      </c>
      <c r="K148">
        <v>986</v>
      </c>
    </row>
    <row r="149" spans="1:11">
      <c r="A149">
        <v>14075</v>
      </c>
      <c r="B149" t="s">
        <v>743</v>
      </c>
      <c r="C149" t="s">
        <v>742</v>
      </c>
      <c r="D149" t="s">
        <v>107</v>
      </c>
      <c r="E149" t="s">
        <v>507</v>
      </c>
      <c r="F149">
        <v>20</v>
      </c>
      <c r="G149">
        <v>1999</v>
      </c>
      <c r="H149">
        <v>10</v>
      </c>
      <c r="I149">
        <v>52</v>
      </c>
      <c r="J149">
        <v>3617.44</v>
      </c>
      <c r="K149">
        <v>1632</v>
      </c>
    </row>
    <row r="150" spans="1:11">
      <c r="A150">
        <v>16013</v>
      </c>
      <c r="B150" t="s">
        <v>744</v>
      </c>
      <c r="C150" t="s">
        <v>582</v>
      </c>
      <c r="E150" t="s">
        <v>553</v>
      </c>
      <c r="F150">
        <v>79</v>
      </c>
      <c r="G150">
        <v>1988</v>
      </c>
      <c r="H150">
        <v>627</v>
      </c>
      <c r="I150">
        <v>0</v>
      </c>
      <c r="J150">
        <v>0</v>
      </c>
      <c r="K150">
        <v>0</v>
      </c>
    </row>
    <row r="151" spans="1:11">
      <c r="A151">
        <v>10034</v>
      </c>
      <c r="B151" t="s">
        <v>746</v>
      </c>
      <c r="C151" t="s">
        <v>565</v>
      </c>
      <c r="E151" t="s">
        <v>747</v>
      </c>
      <c r="F151">
        <v>68</v>
      </c>
      <c r="G151">
        <v>1959</v>
      </c>
      <c r="H151">
        <v>243</v>
      </c>
      <c r="I151">
        <v>15.72</v>
      </c>
      <c r="J151">
        <v>698.77</v>
      </c>
      <c r="K151">
        <v>83</v>
      </c>
    </row>
    <row r="152" spans="1:11">
      <c r="A152">
        <v>24218</v>
      </c>
      <c r="B152" t="s">
        <v>748</v>
      </c>
      <c r="C152" t="s">
        <v>582</v>
      </c>
      <c r="E152" t="s">
        <v>566</v>
      </c>
      <c r="F152">
        <v>51</v>
      </c>
      <c r="G152">
        <v>1969</v>
      </c>
      <c r="H152">
        <v>129</v>
      </c>
      <c r="I152">
        <v>27.062999999999999</v>
      </c>
      <c r="J152">
        <v>1418.175</v>
      </c>
      <c r="K152">
        <v>388</v>
      </c>
    </row>
    <row r="153" spans="1:11">
      <c r="A153">
        <v>16056</v>
      </c>
      <c r="B153" t="s">
        <v>750</v>
      </c>
      <c r="C153" t="s">
        <v>598</v>
      </c>
      <c r="E153" t="s">
        <v>751</v>
      </c>
      <c r="F153">
        <v>82</v>
      </c>
      <c r="G153">
        <v>1966</v>
      </c>
      <c r="H153">
        <v>394</v>
      </c>
      <c r="I153">
        <v>5.4379999999999997</v>
      </c>
      <c r="J153">
        <v>225.52099999999999</v>
      </c>
      <c r="K153">
        <v>34</v>
      </c>
    </row>
    <row r="154" spans="1:11">
      <c r="A154">
        <v>10008</v>
      </c>
      <c r="B154" t="s">
        <v>752</v>
      </c>
      <c r="C154" t="s">
        <v>660</v>
      </c>
      <c r="E154" t="s">
        <v>708</v>
      </c>
      <c r="F154">
        <v>66</v>
      </c>
      <c r="G154">
        <v>1968</v>
      </c>
      <c r="H154">
        <v>406</v>
      </c>
      <c r="I154">
        <v>3.8460000000000001</v>
      </c>
      <c r="J154">
        <v>204.554</v>
      </c>
      <c r="K154">
        <v>59</v>
      </c>
    </row>
    <row r="155" spans="1:11">
      <c r="A155">
        <v>23225</v>
      </c>
      <c r="B155" t="s">
        <v>753</v>
      </c>
      <c r="C155" t="s">
        <v>793</v>
      </c>
      <c r="D155" t="s">
        <v>107</v>
      </c>
      <c r="E155" t="s">
        <v>708</v>
      </c>
      <c r="F155">
        <v>66</v>
      </c>
      <c r="G155">
        <v>1993</v>
      </c>
      <c r="H155">
        <v>572</v>
      </c>
      <c r="I155">
        <v>0.56299999999999994</v>
      </c>
      <c r="J155">
        <v>21.72</v>
      </c>
      <c r="K155">
        <v>0</v>
      </c>
    </row>
    <row r="156" spans="1:11">
      <c r="A156">
        <v>18106</v>
      </c>
      <c r="B156" t="s">
        <v>754</v>
      </c>
      <c r="C156" t="s">
        <v>755</v>
      </c>
      <c r="D156" t="s">
        <v>91</v>
      </c>
      <c r="E156" t="s">
        <v>606</v>
      </c>
      <c r="F156">
        <v>21</v>
      </c>
      <c r="G156">
        <v>2007</v>
      </c>
      <c r="H156">
        <v>11</v>
      </c>
      <c r="I156">
        <v>53.5</v>
      </c>
      <c r="J156">
        <v>3453.8150000000001</v>
      </c>
      <c r="K156">
        <v>1512</v>
      </c>
    </row>
    <row r="157" spans="1:11">
      <c r="A157">
        <v>22105</v>
      </c>
      <c r="B157" t="s">
        <v>1542</v>
      </c>
      <c r="C157" t="s">
        <v>965</v>
      </c>
      <c r="D157" t="s">
        <v>107</v>
      </c>
      <c r="E157" t="s">
        <v>606</v>
      </c>
      <c r="F157">
        <v>21</v>
      </c>
      <c r="G157">
        <v>2005</v>
      </c>
      <c r="H157">
        <v>56</v>
      </c>
      <c r="I157">
        <v>36.750999999999998</v>
      </c>
      <c r="J157">
        <v>2234.3359999999998</v>
      </c>
      <c r="K157">
        <v>800</v>
      </c>
    </row>
    <row r="158" spans="1:11">
      <c r="A158">
        <v>21079</v>
      </c>
      <c r="B158" t="s">
        <v>756</v>
      </c>
      <c r="C158" t="s">
        <v>664</v>
      </c>
      <c r="E158" t="s">
        <v>757</v>
      </c>
      <c r="F158">
        <v>5</v>
      </c>
      <c r="G158">
        <v>1992</v>
      </c>
      <c r="H158">
        <v>628</v>
      </c>
      <c r="I158">
        <v>0</v>
      </c>
      <c r="J158">
        <v>0</v>
      </c>
      <c r="K158">
        <v>0</v>
      </c>
    </row>
    <row r="159" spans="1:11">
      <c r="A159">
        <v>96162</v>
      </c>
      <c r="B159" t="s">
        <v>756</v>
      </c>
      <c r="C159" t="s">
        <v>615</v>
      </c>
      <c r="E159" t="s">
        <v>757</v>
      </c>
      <c r="F159">
        <v>5</v>
      </c>
      <c r="G159">
        <v>1963</v>
      </c>
      <c r="H159">
        <v>318</v>
      </c>
      <c r="I159">
        <v>11.125999999999999</v>
      </c>
      <c r="J159">
        <v>398.93599999999998</v>
      </c>
      <c r="K159">
        <v>0</v>
      </c>
    </row>
    <row r="160" spans="1:11">
      <c r="A160">
        <v>96163</v>
      </c>
      <c r="B160" t="s">
        <v>758</v>
      </c>
      <c r="C160" t="s">
        <v>1543</v>
      </c>
      <c r="D160" t="s">
        <v>107</v>
      </c>
      <c r="E160" t="s">
        <v>757</v>
      </c>
      <c r="F160">
        <v>5</v>
      </c>
      <c r="G160">
        <v>1963</v>
      </c>
      <c r="H160">
        <v>327</v>
      </c>
      <c r="I160">
        <v>10.125999999999999</v>
      </c>
      <c r="J160">
        <v>360.608</v>
      </c>
      <c r="K160">
        <v>0</v>
      </c>
    </row>
    <row r="161" spans="1:11">
      <c r="A161">
        <v>20568</v>
      </c>
      <c r="B161" t="s">
        <v>760</v>
      </c>
      <c r="C161" t="s">
        <v>761</v>
      </c>
      <c r="D161" t="s">
        <v>107</v>
      </c>
      <c r="E161" t="s">
        <v>584</v>
      </c>
      <c r="F161">
        <v>69</v>
      </c>
      <c r="G161">
        <v>1951</v>
      </c>
      <c r="H161">
        <v>508</v>
      </c>
      <c r="I161">
        <v>3.4380000000000002</v>
      </c>
      <c r="J161">
        <v>82.286000000000001</v>
      </c>
      <c r="K161">
        <v>0</v>
      </c>
    </row>
    <row r="162" spans="1:11">
      <c r="A162">
        <v>96217</v>
      </c>
      <c r="B162" t="s">
        <v>762</v>
      </c>
      <c r="C162" t="s">
        <v>763</v>
      </c>
      <c r="E162" t="s">
        <v>513</v>
      </c>
      <c r="F162">
        <v>1</v>
      </c>
      <c r="G162">
        <v>1949</v>
      </c>
      <c r="H162">
        <v>103</v>
      </c>
      <c r="I162">
        <v>25.437999999999999</v>
      </c>
      <c r="J162">
        <v>1733.17</v>
      </c>
      <c r="K162">
        <v>737</v>
      </c>
    </row>
    <row r="163" spans="1:11">
      <c r="A163">
        <v>25054</v>
      </c>
      <c r="B163" t="s">
        <v>764</v>
      </c>
      <c r="C163" t="s">
        <v>554</v>
      </c>
      <c r="E163" t="s">
        <v>765</v>
      </c>
      <c r="F163">
        <v>56</v>
      </c>
      <c r="G163">
        <v>1953</v>
      </c>
      <c r="H163">
        <v>100</v>
      </c>
      <c r="I163">
        <v>31.282</v>
      </c>
      <c r="J163">
        <v>1761.5709999999999</v>
      </c>
      <c r="K163">
        <v>526</v>
      </c>
    </row>
    <row r="164" spans="1:11">
      <c r="A164">
        <v>26022</v>
      </c>
      <c r="B164" t="s">
        <v>764</v>
      </c>
      <c r="C164" t="s">
        <v>552</v>
      </c>
      <c r="E164" t="s">
        <v>765</v>
      </c>
      <c r="F164">
        <v>56</v>
      </c>
      <c r="G164">
        <v>1976</v>
      </c>
      <c r="H164">
        <v>370</v>
      </c>
      <c r="I164">
        <v>5.75</v>
      </c>
      <c r="J164">
        <v>276.21800000000002</v>
      </c>
      <c r="K164">
        <v>43</v>
      </c>
    </row>
    <row r="165" spans="1:11">
      <c r="A165">
        <v>28006</v>
      </c>
      <c r="B165" t="s">
        <v>766</v>
      </c>
      <c r="C165" t="s">
        <v>554</v>
      </c>
      <c r="E165" t="s">
        <v>198</v>
      </c>
      <c r="F165">
        <v>17</v>
      </c>
      <c r="G165">
        <v>1992</v>
      </c>
      <c r="H165">
        <v>5</v>
      </c>
      <c r="I165">
        <v>39.125</v>
      </c>
      <c r="J165">
        <v>3856.0439999999999</v>
      </c>
      <c r="K165">
        <v>1910</v>
      </c>
    </row>
    <row r="166" spans="1:11">
      <c r="A166">
        <v>21004</v>
      </c>
      <c r="B166" t="s">
        <v>766</v>
      </c>
      <c r="C166" t="s">
        <v>1158</v>
      </c>
      <c r="D166" t="s">
        <v>107</v>
      </c>
      <c r="E166" t="s">
        <v>198</v>
      </c>
      <c r="F166">
        <v>17</v>
      </c>
      <c r="G166">
        <v>1991</v>
      </c>
      <c r="H166">
        <v>155</v>
      </c>
      <c r="I166">
        <v>16.5</v>
      </c>
      <c r="J166">
        <v>1235.136</v>
      </c>
      <c r="K166">
        <v>490</v>
      </c>
    </row>
    <row r="167" spans="1:11">
      <c r="A167">
        <v>14021</v>
      </c>
      <c r="B167" t="s">
        <v>766</v>
      </c>
      <c r="C167" t="s">
        <v>736</v>
      </c>
      <c r="E167" t="s">
        <v>510</v>
      </c>
      <c r="F167">
        <v>88</v>
      </c>
      <c r="G167">
        <v>1969</v>
      </c>
      <c r="H167">
        <v>268</v>
      </c>
      <c r="I167">
        <v>14.845000000000001</v>
      </c>
      <c r="J167">
        <v>585.35500000000002</v>
      </c>
      <c r="K167">
        <v>44</v>
      </c>
    </row>
    <row r="168" spans="1:11">
      <c r="A168">
        <v>11019</v>
      </c>
      <c r="B168" t="s">
        <v>767</v>
      </c>
      <c r="C168" t="s">
        <v>559</v>
      </c>
      <c r="E168" t="s">
        <v>768</v>
      </c>
      <c r="F168">
        <v>45</v>
      </c>
      <c r="G168">
        <v>1950</v>
      </c>
      <c r="H168">
        <v>593</v>
      </c>
      <c r="I168">
        <v>0.5</v>
      </c>
      <c r="J168">
        <v>10.603</v>
      </c>
      <c r="K168">
        <v>0</v>
      </c>
    </row>
    <row r="169" spans="1:11">
      <c r="A169">
        <v>18010</v>
      </c>
      <c r="B169" t="s">
        <v>767</v>
      </c>
      <c r="C169" t="s">
        <v>582</v>
      </c>
      <c r="E169" t="s">
        <v>666</v>
      </c>
      <c r="F169">
        <v>87</v>
      </c>
      <c r="G169">
        <v>1948</v>
      </c>
      <c r="H169">
        <v>502</v>
      </c>
      <c r="I169">
        <v>2.125</v>
      </c>
      <c r="J169">
        <v>90.39</v>
      </c>
      <c r="K169">
        <v>15</v>
      </c>
    </row>
    <row r="170" spans="1:11">
      <c r="A170">
        <v>18011</v>
      </c>
      <c r="B170" t="s">
        <v>769</v>
      </c>
      <c r="C170" t="s">
        <v>680</v>
      </c>
      <c r="D170" t="s">
        <v>107</v>
      </c>
      <c r="E170" t="s">
        <v>666</v>
      </c>
      <c r="F170">
        <v>87</v>
      </c>
      <c r="G170">
        <v>1950</v>
      </c>
      <c r="H170">
        <v>530</v>
      </c>
      <c r="I170">
        <v>1.125</v>
      </c>
      <c r="J170">
        <v>61.012999999999998</v>
      </c>
      <c r="K170">
        <v>15</v>
      </c>
    </row>
    <row r="171" spans="1:11">
      <c r="A171">
        <v>18069</v>
      </c>
      <c r="B171" t="s">
        <v>770</v>
      </c>
      <c r="C171" t="s">
        <v>554</v>
      </c>
      <c r="E171" t="s">
        <v>510</v>
      </c>
      <c r="F171">
        <v>88</v>
      </c>
      <c r="G171">
        <v>1978</v>
      </c>
      <c r="H171">
        <v>547</v>
      </c>
      <c r="I171">
        <v>1</v>
      </c>
      <c r="J171">
        <v>39.213000000000001</v>
      </c>
      <c r="K171">
        <v>0</v>
      </c>
    </row>
    <row r="172" spans="1:11">
      <c r="A172">
        <v>18068</v>
      </c>
      <c r="B172" t="s">
        <v>771</v>
      </c>
      <c r="C172" t="s">
        <v>772</v>
      </c>
      <c r="D172" t="s">
        <v>107</v>
      </c>
      <c r="E172" t="s">
        <v>510</v>
      </c>
      <c r="F172">
        <v>88</v>
      </c>
      <c r="G172">
        <v>1982</v>
      </c>
      <c r="H172">
        <v>213</v>
      </c>
      <c r="I172">
        <v>14.064</v>
      </c>
      <c r="J172">
        <v>830.76099999999997</v>
      </c>
      <c r="K172">
        <v>286</v>
      </c>
    </row>
    <row r="173" spans="1:11">
      <c r="A173">
        <v>15059</v>
      </c>
      <c r="B173" t="s">
        <v>773</v>
      </c>
      <c r="C173" t="s">
        <v>626</v>
      </c>
      <c r="E173" t="s">
        <v>678</v>
      </c>
      <c r="F173">
        <v>54</v>
      </c>
      <c r="G173">
        <v>1959</v>
      </c>
      <c r="H173">
        <v>206</v>
      </c>
      <c r="I173">
        <v>12.188000000000001</v>
      </c>
      <c r="J173">
        <v>889.32799999999997</v>
      </c>
      <c r="K173">
        <v>343</v>
      </c>
    </row>
    <row r="174" spans="1:11">
      <c r="A174">
        <v>99594</v>
      </c>
      <c r="B174" t="s">
        <v>774</v>
      </c>
      <c r="C174" t="s">
        <v>559</v>
      </c>
      <c r="E174" t="s">
        <v>200</v>
      </c>
      <c r="F174">
        <v>19</v>
      </c>
      <c r="G174">
        <v>1960</v>
      </c>
      <c r="H174">
        <v>314</v>
      </c>
      <c r="I174">
        <v>10.625</v>
      </c>
      <c r="J174">
        <v>407.77600000000001</v>
      </c>
      <c r="K174">
        <v>91</v>
      </c>
    </row>
    <row r="175" spans="1:11">
      <c r="A175">
        <v>15024</v>
      </c>
      <c r="B175" t="s">
        <v>775</v>
      </c>
      <c r="C175" t="s">
        <v>776</v>
      </c>
      <c r="E175" t="s">
        <v>520</v>
      </c>
      <c r="F175">
        <v>67</v>
      </c>
      <c r="G175">
        <v>1959</v>
      </c>
      <c r="H175">
        <v>629</v>
      </c>
      <c r="I175">
        <v>0</v>
      </c>
      <c r="J175">
        <v>0</v>
      </c>
      <c r="K175">
        <v>0</v>
      </c>
    </row>
    <row r="176" spans="1:11">
      <c r="A176">
        <v>24309</v>
      </c>
      <c r="B176" t="s">
        <v>777</v>
      </c>
      <c r="C176" t="s">
        <v>577</v>
      </c>
      <c r="E176" t="s">
        <v>778</v>
      </c>
      <c r="F176">
        <v>85</v>
      </c>
      <c r="G176">
        <v>1985</v>
      </c>
      <c r="H176">
        <v>52</v>
      </c>
      <c r="I176">
        <v>23.125</v>
      </c>
      <c r="J176">
        <v>2266.7370000000001</v>
      </c>
      <c r="K176">
        <v>1173</v>
      </c>
    </row>
    <row r="177" spans="1:11">
      <c r="A177">
        <v>24311</v>
      </c>
      <c r="B177" t="s">
        <v>777</v>
      </c>
      <c r="C177" t="s">
        <v>582</v>
      </c>
      <c r="E177" t="s">
        <v>778</v>
      </c>
      <c r="F177">
        <v>85</v>
      </c>
      <c r="G177">
        <v>1989</v>
      </c>
      <c r="H177">
        <v>630</v>
      </c>
      <c r="I177">
        <v>0</v>
      </c>
      <c r="J177">
        <v>0</v>
      </c>
      <c r="K177">
        <v>0</v>
      </c>
    </row>
    <row r="178" spans="1:11">
      <c r="A178">
        <v>13075</v>
      </c>
      <c r="B178" t="s">
        <v>1544</v>
      </c>
      <c r="C178" t="s">
        <v>943</v>
      </c>
      <c r="D178" t="s">
        <v>107</v>
      </c>
      <c r="E178" t="s">
        <v>778</v>
      </c>
      <c r="F178">
        <v>85</v>
      </c>
      <c r="G178">
        <v>1986</v>
      </c>
      <c r="H178">
        <v>631</v>
      </c>
      <c r="I178">
        <v>0</v>
      </c>
      <c r="J178">
        <v>0</v>
      </c>
      <c r="K178">
        <v>0</v>
      </c>
    </row>
    <row r="179" spans="1:11">
      <c r="A179">
        <v>22109</v>
      </c>
      <c r="B179" t="s">
        <v>1545</v>
      </c>
      <c r="C179" t="s">
        <v>726</v>
      </c>
      <c r="E179" t="s">
        <v>516</v>
      </c>
      <c r="F179">
        <v>42</v>
      </c>
      <c r="G179">
        <v>1968</v>
      </c>
      <c r="H179">
        <v>368</v>
      </c>
      <c r="I179">
        <v>5.1260000000000003</v>
      </c>
      <c r="J179">
        <v>280.15199999999999</v>
      </c>
      <c r="K179">
        <v>47</v>
      </c>
    </row>
    <row r="180" spans="1:11">
      <c r="A180">
        <v>20588</v>
      </c>
      <c r="B180" t="s">
        <v>779</v>
      </c>
      <c r="C180" t="s">
        <v>707</v>
      </c>
      <c r="D180" t="s">
        <v>91</v>
      </c>
      <c r="E180" t="s">
        <v>597</v>
      </c>
      <c r="F180">
        <v>95</v>
      </c>
      <c r="G180">
        <v>2010</v>
      </c>
      <c r="H180">
        <v>632</v>
      </c>
      <c r="I180">
        <v>0</v>
      </c>
      <c r="J180">
        <v>0</v>
      </c>
      <c r="K180">
        <v>0</v>
      </c>
    </row>
    <row r="181" spans="1:11">
      <c r="A181">
        <v>16020</v>
      </c>
      <c r="B181" t="s">
        <v>780</v>
      </c>
      <c r="C181" t="s">
        <v>626</v>
      </c>
      <c r="E181" t="s">
        <v>768</v>
      </c>
      <c r="F181">
        <v>45</v>
      </c>
      <c r="G181">
        <v>1968</v>
      </c>
      <c r="H181">
        <v>167</v>
      </c>
      <c r="I181">
        <v>21.125</v>
      </c>
      <c r="J181">
        <v>1129.7739999999999</v>
      </c>
      <c r="K181">
        <v>342</v>
      </c>
    </row>
    <row r="182" spans="1:11">
      <c r="A182">
        <v>18095</v>
      </c>
      <c r="B182" t="s">
        <v>781</v>
      </c>
      <c r="C182" t="s">
        <v>626</v>
      </c>
      <c r="E182" t="s">
        <v>782</v>
      </c>
      <c r="F182">
        <v>90</v>
      </c>
      <c r="G182">
        <v>1957</v>
      </c>
      <c r="H182">
        <v>279</v>
      </c>
      <c r="I182">
        <v>10.688000000000001</v>
      </c>
      <c r="J182">
        <v>567.81600000000003</v>
      </c>
      <c r="K182">
        <v>146</v>
      </c>
    </row>
    <row r="183" spans="1:11">
      <c r="A183">
        <v>10021</v>
      </c>
      <c r="B183" t="s">
        <v>783</v>
      </c>
      <c r="C183" t="s">
        <v>626</v>
      </c>
      <c r="E183" t="s">
        <v>520</v>
      </c>
      <c r="F183">
        <v>67</v>
      </c>
      <c r="G183">
        <v>1964</v>
      </c>
      <c r="H183">
        <v>464</v>
      </c>
      <c r="I183">
        <v>1.125</v>
      </c>
      <c r="J183">
        <v>134.69399999999999</v>
      </c>
      <c r="K183">
        <v>87</v>
      </c>
    </row>
    <row r="184" spans="1:11">
      <c r="A184">
        <v>18136</v>
      </c>
      <c r="B184" t="s">
        <v>784</v>
      </c>
      <c r="C184" t="s">
        <v>583</v>
      </c>
      <c r="E184" t="s">
        <v>751</v>
      </c>
      <c r="F184">
        <v>82</v>
      </c>
      <c r="G184">
        <v>1970</v>
      </c>
      <c r="H184">
        <v>42</v>
      </c>
      <c r="I184">
        <v>34.563000000000002</v>
      </c>
      <c r="J184">
        <v>2419.3980000000001</v>
      </c>
      <c r="K184">
        <v>1102</v>
      </c>
    </row>
    <row r="185" spans="1:11">
      <c r="A185">
        <v>96108</v>
      </c>
      <c r="B185" t="s">
        <v>785</v>
      </c>
      <c r="C185" t="s">
        <v>608</v>
      </c>
      <c r="E185" t="s">
        <v>513</v>
      </c>
      <c r="F185">
        <v>1</v>
      </c>
      <c r="G185">
        <v>1967</v>
      </c>
      <c r="H185">
        <v>467</v>
      </c>
      <c r="I185">
        <v>4.5</v>
      </c>
      <c r="J185">
        <v>128.60300000000001</v>
      </c>
      <c r="K185">
        <v>0</v>
      </c>
    </row>
    <row r="186" spans="1:11">
      <c r="A186">
        <v>96059</v>
      </c>
      <c r="B186" t="s">
        <v>786</v>
      </c>
      <c r="C186" t="s">
        <v>547</v>
      </c>
      <c r="D186" t="s">
        <v>107</v>
      </c>
      <c r="E186" t="s">
        <v>513</v>
      </c>
      <c r="F186">
        <v>1</v>
      </c>
      <c r="G186">
        <v>1970</v>
      </c>
      <c r="H186">
        <v>77</v>
      </c>
      <c r="I186">
        <v>32.25</v>
      </c>
      <c r="J186">
        <v>2008.9090000000001</v>
      </c>
      <c r="K186">
        <v>739</v>
      </c>
    </row>
    <row r="187" spans="1:11">
      <c r="A187">
        <v>98419</v>
      </c>
      <c r="B187" t="s">
        <v>787</v>
      </c>
      <c r="C187" t="s">
        <v>726</v>
      </c>
      <c r="E187" t="s">
        <v>571</v>
      </c>
      <c r="F187">
        <v>27</v>
      </c>
      <c r="G187">
        <v>1952</v>
      </c>
      <c r="H187">
        <v>428</v>
      </c>
      <c r="I187">
        <v>2.9060000000000001</v>
      </c>
      <c r="J187">
        <v>165.19200000000001</v>
      </c>
      <c r="K187">
        <v>39</v>
      </c>
    </row>
    <row r="188" spans="1:11">
      <c r="A188">
        <v>14006</v>
      </c>
      <c r="B188" t="s">
        <v>788</v>
      </c>
      <c r="C188" t="s">
        <v>577</v>
      </c>
      <c r="E188" t="s">
        <v>513</v>
      </c>
      <c r="F188">
        <v>1</v>
      </c>
      <c r="G188">
        <v>1970</v>
      </c>
      <c r="H188">
        <v>171</v>
      </c>
      <c r="I188">
        <v>13.814</v>
      </c>
      <c r="J188">
        <v>1111.0840000000001</v>
      </c>
      <c r="K188">
        <v>513</v>
      </c>
    </row>
    <row r="189" spans="1:11">
      <c r="A189">
        <v>98423</v>
      </c>
      <c r="B189" t="s">
        <v>791</v>
      </c>
      <c r="C189" t="s">
        <v>565</v>
      </c>
      <c r="E189" t="s">
        <v>571</v>
      </c>
      <c r="F189">
        <v>27</v>
      </c>
      <c r="G189">
        <v>1982</v>
      </c>
      <c r="H189">
        <v>452</v>
      </c>
      <c r="I189">
        <v>6</v>
      </c>
      <c r="J189">
        <v>144.99100000000001</v>
      </c>
      <c r="K189">
        <v>0</v>
      </c>
    </row>
    <row r="190" spans="1:11">
      <c r="A190">
        <v>98477</v>
      </c>
      <c r="B190" t="s">
        <v>1546</v>
      </c>
      <c r="C190" t="s">
        <v>583</v>
      </c>
      <c r="E190" t="s">
        <v>573</v>
      </c>
      <c r="F190">
        <v>16</v>
      </c>
      <c r="G190">
        <v>1987</v>
      </c>
      <c r="H190">
        <v>321</v>
      </c>
      <c r="I190">
        <v>5</v>
      </c>
      <c r="J190">
        <v>382.27699999999999</v>
      </c>
      <c r="K190">
        <v>196</v>
      </c>
    </row>
    <row r="191" spans="1:11">
      <c r="A191">
        <v>14079</v>
      </c>
      <c r="B191" t="s">
        <v>1547</v>
      </c>
      <c r="C191" t="s">
        <v>602</v>
      </c>
      <c r="E191" t="s">
        <v>546</v>
      </c>
      <c r="F191">
        <v>86</v>
      </c>
      <c r="G191">
        <v>2002</v>
      </c>
      <c r="H191">
        <v>97</v>
      </c>
      <c r="I191">
        <v>30.375</v>
      </c>
      <c r="J191">
        <v>1793.9649999999999</v>
      </c>
      <c r="K191">
        <v>567</v>
      </c>
    </row>
    <row r="192" spans="1:11">
      <c r="A192">
        <v>11058</v>
      </c>
      <c r="B192" t="s">
        <v>794</v>
      </c>
      <c r="C192" t="s">
        <v>602</v>
      </c>
      <c r="E192" t="s">
        <v>606</v>
      </c>
      <c r="F192">
        <v>21</v>
      </c>
      <c r="G192">
        <v>1960</v>
      </c>
      <c r="H192">
        <v>280</v>
      </c>
      <c r="I192">
        <v>11.782</v>
      </c>
      <c r="J192">
        <v>564.34299999999996</v>
      </c>
      <c r="K192">
        <v>131</v>
      </c>
    </row>
    <row r="193" spans="1:11">
      <c r="A193">
        <v>14028</v>
      </c>
      <c r="B193" t="s">
        <v>795</v>
      </c>
      <c r="C193" t="s">
        <v>796</v>
      </c>
      <c r="D193" t="s">
        <v>107</v>
      </c>
      <c r="E193" t="s">
        <v>797</v>
      </c>
      <c r="F193">
        <v>77</v>
      </c>
      <c r="G193">
        <v>1958</v>
      </c>
      <c r="H193">
        <v>226</v>
      </c>
      <c r="I193">
        <v>11.250999999999999</v>
      </c>
      <c r="J193">
        <v>772.33199999999999</v>
      </c>
      <c r="K193">
        <v>283</v>
      </c>
    </row>
    <row r="194" spans="1:11">
      <c r="A194">
        <v>24518</v>
      </c>
      <c r="B194" t="s">
        <v>1548</v>
      </c>
      <c r="C194" t="s">
        <v>583</v>
      </c>
      <c r="E194" t="s">
        <v>597</v>
      </c>
      <c r="F194">
        <v>95</v>
      </c>
      <c r="G194">
        <v>1993</v>
      </c>
      <c r="H194">
        <v>535</v>
      </c>
      <c r="I194">
        <v>1.407</v>
      </c>
      <c r="J194">
        <v>58.84</v>
      </c>
      <c r="K194">
        <v>0</v>
      </c>
    </row>
    <row r="195" spans="1:11">
      <c r="A195">
        <v>13054</v>
      </c>
      <c r="B195" t="s">
        <v>798</v>
      </c>
      <c r="C195" t="s">
        <v>799</v>
      </c>
      <c r="E195" t="s">
        <v>650</v>
      </c>
      <c r="F195">
        <v>15</v>
      </c>
      <c r="G195">
        <v>1981</v>
      </c>
      <c r="H195">
        <v>333</v>
      </c>
      <c r="I195">
        <v>9</v>
      </c>
      <c r="J195">
        <v>343.50599999999997</v>
      </c>
      <c r="K195">
        <v>0</v>
      </c>
    </row>
    <row r="196" spans="1:11">
      <c r="A196">
        <v>20558</v>
      </c>
      <c r="B196" t="s">
        <v>800</v>
      </c>
      <c r="C196" t="s">
        <v>608</v>
      </c>
      <c r="E196" t="s">
        <v>553</v>
      </c>
      <c r="F196">
        <v>79</v>
      </c>
      <c r="G196">
        <v>1975</v>
      </c>
      <c r="H196">
        <v>434</v>
      </c>
      <c r="I196">
        <v>5</v>
      </c>
      <c r="J196">
        <v>163.995</v>
      </c>
      <c r="K196">
        <v>0</v>
      </c>
    </row>
    <row r="197" spans="1:11">
      <c r="A197">
        <v>16075</v>
      </c>
      <c r="B197" t="s">
        <v>801</v>
      </c>
      <c r="C197" t="s">
        <v>608</v>
      </c>
      <c r="E197" t="s">
        <v>666</v>
      </c>
      <c r="F197">
        <v>87</v>
      </c>
      <c r="G197">
        <v>1954</v>
      </c>
      <c r="H197">
        <v>140</v>
      </c>
      <c r="I197">
        <v>18.940000000000001</v>
      </c>
      <c r="J197">
        <v>1315.701</v>
      </c>
      <c r="K197">
        <v>626</v>
      </c>
    </row>
    <row r="198" spans="1:11">
      <c r="A198">
        <v>22141</v>
      </c>
      <c r="B198" t="s">
        <v>1549</v>
      </c>
      <c r="C198" t="s">
        <v>552</v>
      </c>
      <c r="E198" t="s">
        <v>768</v>
      </c>
      <c r="F198">
        <v>45</v>
      </c>
      <c r="G198">
        <v>1969</v>
      </c>
      <c r="H198">
        <v>395</v>
      </c>
      <c r="I198">
        <v>6.69</v>
      </c>
      <c r="J198">
        <v>222.99600000000001</v>
      </c>
      <c r="K198">
        <v>0</v>
      </c>
    </row>
    <row r="199" spans="1:11">
      <c r="A199">
        <v>22179</v>
      </c>
      <c r="B199" t="s">
        <v>1550</v>
      </c>
      <c r="C199" t="s">
        <v>545</v>
      </c>
      <c r="E199" t="s">
        <v>546</v>
      </c>
      <c r="F199">
        <v>86</v>
      </c>
      <c r="G199">
        <v>1987</v>
      </c>
      <c r="H199">
        <v>151</v>
      </c>
      <c r="I199">
        <v>19.001000000000001</v>
      </c>
      <c r="J199">
        <v>1267.4849999999999</v>
      </c>
      <c r="K199">
        <v>481</v>
      </c>
    </row>
    <row r="200" spans="1:11">
      <c r="A200">
        <v>20513</v>
      </c>
      <c r="B200" t="s">
        <v>803</v>
      </c>
      <c r="C200" t="s">
        <v>557</v>
      </c>
      <c r="E200" t="s">
        <v>708</v>
      </c>
      <c r="F200">
        <v>66</v>
      </c>
      <c r="G200">
        <v>1991</v>
      </c>
      <c r="H200">
        <v>192</v>
      </c>
      <c r="I200">
        <v>20.22</v>
      </c>
      <c r="J200">
        <v>996.68799999999999</v>
      </c>
      <c r="K200">
        <v>283</v>
      </c>
    </row>
    <row r="201" spans="1:11">
      <c r="A201">
        <v>25002</v>
      </c>
      <c r="B201" t="s">
        <v>804</v>
      </c>
      <c r="C201" t="s">
        <v>742</v>
      </c>
      <c r="D201" t="s">
        <v>107</v>
      </c>
      <c r="E201" t="s">
        <v>678</v>
      </c>
      <c r="F201">
        <v>54</v>
      </c>
      <c r="G201">
        <v>1973</v>
      </c>
      <c r="H201">
        <v>272</v>
      </c>
      <c r="I201">
        <v>5.4690000000000003</v>
      </c>
      <c r="J201">
        <v>579.19200000000001</v>
      </c>
      <c r="K201">
        <v>304</v>
      </c>
    </row>
    <row r="202" spans="1:11">
      <c r="A202">
        <v>24240</v>
      </c>
      <c r="B202" t="s">
        <v>805</v>
      </c>
      <c r="C202" t="s">
        <v>583</v>
      </c>
      <c r="E202" t="s">
        <v>198</v>
      </c>
      <c r="F202">
        <v>17</v>
      </c>
      <c r="G202">
        <v>1976</v>
      </c>
      <c r="H202">
        <v>162</v>
      </c>
      <c r="I202">
        <v>19.187999999999999</v>
      </c>
      <c r="J202">
        <v>1166.991</v>
      </c>
      <c r="K202">
        <v>406</v>
      </c>
    </row>
    <row r="203" spans="1:11">
      <c r="A203">
        <v>98373</v>
      </c>
      <c r="B203" t="s">
        <v>806</v>
      </c>
      <c r="C203" t="s">
        <v>808</v>
      </c>
      <c r="D203" t="s">
        <v>107</v>
      </c>
      <c r="E203" t="s">
        <v>613</v>
      </c>
      <c r="F203">
        <v>24</v>
      </c>
      <c r="G203">
        <v>1985</v>
      </c>
      <c r="H203">
        <v>306</v>
      </c>
      <c r="I203">
        <v>5.4379999999999997</v>
      </c>
      <c r="J203">
        <v>438.05</v>
      </c>
      <c r="K203">
        <v>181</v>
      </c>
    </row>
    <row r="204" spans="1:11">
      <c r="A204">
        <v>28038</v>
      </c>
      <c r="B204" t="s">
        <v>809</v>
      </c>
      <c r="C204" t="s">
        <v>572</v>
      </c>
      <c r="D204" t="s">
        <v>107</v>
      </c>
      <c r="E204" t="s">
        <v>200</v>
      </c>
      <c r="F204">
        <v>19</v>
      </c>
      <c r="G204">
        <v>1954</v>
      </c>
      <c r="H204">
        <v>633</v>
      </c>
      <c r="I204">
        <v>0</v>
      </c>
      <c r="J204">
        <v>0</v>
      </c>
      <c r="K204">
        <v>0</v>
      </c>
    </row>
    <row r="205" spans="1:11">
      <c r="A205">
        <v>24509</v>
      </c>
      <c r="B205" t="s">
        <v>1551</v>
      </c>
      <c r="C205" t="s">
        <v>710</v>
      </c>
      <c r="D205" t="s">
        <v>657</v>
      </c>
      <c r="E205" t="s">
        <v>782</v>
      </c>
      <c r="F205">
        <v>90</v>
      </c>
      <c r="G205">
        <v>2014</v>
      </c>
      <c r="H205">
        <v>634</v>
      </c>
      <c r="I205">
        <v>0</v>
      </c>
      <c r="J205">
        <v>0</v>
      </c>
      <c r="K205">
        <v>0</v>
      </c>
    </row>
    <row r="206" spans="1:11">
      <c r="A206">
        <v>24527</v>
      </c>
      <c r="B206" t="s">
        <v>1551</v>
      </c>
      <c r="C206" t="s">
        <v>793</v>
      </c>
      <c r="D206" t="s">
        <v>107</v>
      </c>
      <c r="E206" t="s">
        <v>782</v>
      </c>
      <c r="F206">
        <v>90</v>
      </c>
      <c r="G206">
        <v>1986</v>
      </c>
      <c r="H206">
        <v>635</v>
      </c>
      <c r="I206">
        <v>0</v>
      </c>
      <c r="J206">
        <v>0</v>
      </c>
      <c r="K206">
        <v>0</v>
      </c>
    </row>
    <row r="207" spans="1:11">
      <c r="A207">
        <v>22148</v>
      </c>
      <c r="B207" t="s">
        <v>1552</v>
      </c>
      <c r="C207" t="s">
        <v>589</v>
      </c>
      <c r="E207" t="s">
        <v>1418</v>
      </c>
      <c r="F207">
        <v>98</v>
      </c>
      <c r="G207">
        <v>1968</v>
      </c>
      <c r="H207">
        <v>202</v>
      </c>
      <c r="I207">
        <v>22.657</v>
      </c>
      <c r="J207">
        <v>928.77499999999998</v>
      </c>
      <c r="K207">
        <v>84</v>
      </c>
    </row>
    <row r="208" spans="1:11">
      <c r="A208">
        <v>20542</v>
      </c>
      <c r="B208" t="s">
        <v>811</v>
      </c>
      <c r="C208" t="s">
        <v>565</v>
      </c>
      <c r="E208" t="s">
        <v>792</v>
      </c>
      <c r="F208">
        <v>93</v>
      </c>
      <c r="G208">
        <v>1956</v>
      </c>
      <c r="H208">
        <v>292</v>
      </c>
      <c r="I208">
        <v>14.47</v>
      </c>
      <c r="J208">
        <v>495.15300000000002</v>
      </c>
      <c r="K208">
        <v>18</v>
      </c>
    </row>
    <row r="209" spans="1:11">
      <c r="A209">
        <v>20566</v>
      </c>
      <c r="B209" t="s">
        <v>812</v>
      </c>
      <c r="C209" t="s">
        <v>602</v>
      </c>
      <c r="E209" t="s">
        <v>592</v>
      </c>
      <c r="F209">
        <v>2</v>
      </c>
      <c r="G209">
        <v>1981</v>
      </c>
      <c r="H209">
        <v>636</v>
      </c>
      <c r="I209">
        <v>0</v>
      </c>
      <c r="J209">
        <v>0</v>
      </c>
      <c r="K209">
        <v>0</v>
      </c>
    </row>
    <row r="210" spans="1:11">
      <c r="A210">
        <v>16077</v>
      </c>
      <c r="B210" t="s">
        <v>813</v>
      </c>
      <c r="C210" t="s">
        <v>583</v>
      </c>
      <c r="E210" t="s">
        <v>666</v>
      </c>
      <c r="F210">
        <v>87</v>
      </c>
      <c r="G210">
        <v>1953</v>
      </c>
      <c r="H210">
        <v>138</v>
      </c>
      <c r="I210">
        <v>16.125</v>
      </c>
      <c r="J210">
        <v>1346.502</v>
      </c>
      <c r="K210">
        <v>705</v>
      </c>
    </row>
    <row r="211" spans="1:11">
      <c r="A211">
        <v>18141</v>
      </c>
      <c r="B211" t="s">
        <v>815</v>
      </c>
      <c r="C211" t="s">
        <v>810</v>
      </c>
      <c r="E211" t="s">
        <v>682</v>
      </c>
      <c r="F211">
        <v>91</v>
      </c>
      <c r="G211">
        <v>1963</v>
      </c>
      <c r="H211">
        <v>317</v>
      </c>
      <c r="I211">
        <v>11.250999999999999</v>
      </c>
      <c r="J211">
        <v>399.7</v>
      </c>
      <c r="K211">
        <v>15</v>
      </c>
    </row>
    <row r="212" spans="1:11">
      <c r="A212">
        <v>24542</v>
      </c>
      <c r="B212" t="s">
        <v>816</v>
      </c>
      <c r="C212" t="s">
        <v>807</v>
      </c>
      <c r="D212" t="s">
        <v>657</v>
      </c>
      <c r="E212" t="s">
        <v>505</v>
      </c>
      <c r="F212">
        <v>89</v>
      </c>
      <c r="G212">
        <v>2012</v>
      </c>
      <c r="H212">
        <v>637</v>
      </c>
      <c r="I212">
        <v>0</v>
      </c>
      <c r="J212">
        <v>0</v>
      </c>
      <c r="K212">
        <v>0</v>
      </c>
    </row>
    <row r="213" spans="1:11">
      <c r="A213">
        <v>18142</v>
      </c>
      <c r="B213" t="s">
        <v>816</v>
      </c>
      <c r="C213" t="s">
        <v>817</v>
      </c>
      <c r="D213" t="s">
        <v>107</v>
      </c>
      <c r="E213" t="s">
        <v>682</v>
      </c>
      <c r="F213">
        <v>91</v>
      </c>
      <c r="G213">
        <v>1973</v>
      </c>
      <c r="H213">
        <v>381</v>
      </c>
      <c r="I213">
        <v>7.6260000000000003</v>
      </c>
      <c r="J213">
        <v>253.93199999999999</v>
      </c>
      <c r="K213">
        <v>0</v>
      </c>
    </row>
    <row r="214" spans="1:11">
      <c r="A214">
        <v>15060</v>
      </c>
      <c r="B214" t="s">
        <v>820</v>
      </c>
      <c r="C214" t="s">
        <v>554</v>
      </c>
      <c r="E214" t="s">
        <v>637</v>
      </c>
      <c r="F214">
        <v>92</v>
      </c>
      <c r="G214">
        <v>1955</v>
      </c>
      <c r="H214">
        <v>96</v>
      </c>
      <c r="I214">
        <v>28.001000000000001</v>
      </c>
      <c r="J214">
        <v>1820.297</v>
      </c>
      <c r="K214">
        <v>660</v>
      </c>
    </row>
    <row r="215" spans="1:11">
      <c r="A215">
        <v>28051</v>
      </c>
      <c r="B215" t="s">
        <v>821</v>
      </c>
      <c r="C215" t="s">
        <v>749</v>
      </c>
      <c r="E215" t="s">
        <v>200</v>
      </c>
      <c r="F215">
        <v>19</v>
      </c>
      <c r="G215">
        <v>1963</v>
      </c>
      <c r="H215">
        <v>130</v>
      </c>
      <c r="I215">
        <v>18.187999999999999</v>
      </c>
      <c r="J215">
        <v>1409.5350000000001</v>
      </c>
      <c r="K215">
        <v>646</v>
      </c>
    </row>
    <row r="216" spans="1:11">
      <c r="A216">
        <v>25003</v>
      </c>
      <c r="B216" t="s">
        <v>822</v>
      </c>
      <c r="C216" t="s">
        <v>823</v>
      </c>
      <c r="D216" t="s">
        <v>107</v>
      </c>
      <c r="E216" t="s">
        <v>678</v>
      </c>
      <c r="F216">
        <v>54</v>
      </c>
      <c r="G216">
        <v>1973</v>
      </c>
      <c r="H216">
        <v>91</v>
      </c>
      <c r="I216">
        <v>24.626000000000001</v>
      </c>
      <c r="J216">
        <v>1871.086</v>
      </c>
      <c r="K216">
        <v>850</v>
      </c>
    </row>
    <row r="217" spans="1:11">
      <c r="A217">
        <v>13065</v>
      </c>
      <c r="B217" t="s">
        <v>825</v>
      </c>
      <c r="C217" t="s">
        <v>620</v>
      </c>
      <c r="E217" t="s">
        <v>520</v>
      </c>
      <c r="F217">
        <v>67</v>
      </c>
      <c r="G217">
        <v>1961</v>
      </c>
      <c r="H217">
        <v>638</v>
      </c>
      <c r="I217">
        <v>0</v>
      </c>
      <c r="J217">
        <v>0</v>
      </c>
      <c r="K217">
        <v>0</v>
      </c>
    </row>
    <row r="218" spans="1:11">
      <c r="A218">
        <v>10079</v>
      </c>
      <c r="B218" t="s">
        <v>826</v>
      </c>
      <c r="C218" t="s">
        <v>827</v>
      </c>
      <c r="E218" t="s">
        <v>584</v>
      </c>
      <c r="F218">
        <v>69</v>
      </c>
      <c r="G218">
        <v>1951</v>
      </c>
      <c r="H218">
        <v>454</v>
      </c>
      <c r="I218">
        <v>4.0940000000000003</v>
      </c>
      <c r="J218">
        <v>143.691</v>
      </c>
      <c r="K218">
        <v>43</v>
      </c>
    </row>
    <row r="219" spans="1:11">
      <c r="A219">
        <v>16023</v>
      </c>
      <c r="B219" t="s">
        <v>830</v>
      </c>
      <c r="C219" t="s">
        <v>831</v>
      </c>
      <c r="E219" t="s">
        <v>571</v>
      </c>
      <c r="F219">
        <v>27</v>
      </c>
      <c r="G219">
        <v>1966</v>
      </c>
      <c r="H219">
        <v>526</v>
      </c>
      <c r="I219">
        <v>1.8129999999999999</v>
      </c>
      <c r="J219">
        <v>63.463000000000001</v>
      </c>
      <c r="K219">
        <v>0</v>
      </c>
    </row>
    <row r="220" spans="1:11">
      <c r="A220">
        <v>15085</v>
      </c>
      <c r="B220" t="s">
        <v>832</v>
      </c>
      <c r="C220" t="s">
        <v>626</v>
      </c>
      <c r="E220" t="s">
        <v>592</v>
      </c>
      <c r="F220">
        <v>2</v>
      </c>
      <c r="G220">
        <v>1996</v>
      </c>
      <c r="H220">
        <v>639</v>
      </c>
      <c r="I220">
        <v>0</v>
      </c>
      <c r="J220">
        <v>0</v>
      </c>
      <c r="K220">
        <v>0</v>
      </c>
    </row>
    <row r="221" spans="1:11">
      <c r="A221">
        <v>12059</v>
      </c>
      <c r="B221" t="s">
        <v>833</v>
      </c>
      <c r="C221" t="s">
        <v>834</v>
      </c>
      <c r="D221" t="s">
        <v>107</v>
      </c>
      <c r="E221" t="s">
        <v>501</v>
      </c>
      <c r="F221">
        <v>64</v>
      </c>
      <c r="G221">
        <v>1978</v>
      </c>
      <c r="H221">
        <v>640</v>
      </c>
      <c r="I221">
        <v>0</v>
      </c>
      <c r="J221">
        <v>0</v>
      </c>
      <c r="K221">
        <v>0</v>
      </c>
    </row>
    <row r="222" spans="1:11">
      <c r="A222">
        <v>15051</v>
      </c>
      <c r="B222" t="s">
        <v>835</v>
      </c>
      <c r="C222" t="s">
        <v>598</v>
      </c>
      <c r="E222" t="s">
        <v>216</v>
      </c>
      <c r="F222">
        <v>33</v>
      </c>
      <c r="G222">
        <v>1953</v>
      </c>
      <c r="H222">
        <v>251</v>
      </c>
      <c r="I222">
        <v>12.314</v>
      </c>
      <c r="J222">
        <v>635.31500000000005</v>
      </c>
      <c r="K222">
        <v>148</v>
      </c>
    </row>
    <row r="223" spans="1:11">
      <c r="A223">
        <v>27045</v>
      </c>
      <c r="B223" t="s">
        <v>836</v>
      </c>
      <c r="C223" t="s">
        <v>608</v>
      </c>
      <c r="E223" t="s">
        <v>163</v>
      </c>
      <c r="F223">
        <v>43</v>
      </c>
      <c r="G223">
        <v>1980</v>
      </c>
      <c r="H223">
        <v>408</v>
      </c>
      <c r="I223">
        <v>5.625</v>
      </c>
      <c r="J223">
        <v>203.03700000000001</v>
      </c>
      <c r="K223">
        <v>0</v>
      </c>
    </row>
    <row r="224" spans="1:11">
      <c r="A224">
        <v>21777</v>
      </c>
      <c r="B224" t="s">
        <v>836</v>
      </c>
      <c r="C224" t="s">
        <v>615</v>
      </c>
      <c r="E224" t="s">
        <v>198</v>
      </c>
      <c r="F224">
        <v>17</v>
      </c>
      <c r="G224">
        <v>1975</v>
      </c>
      <c r="H224">
        <v>641</v>
      </c>
      <c r="I224">
        <v>0</v>
      </c>
      <c r="J224">
        <v>0</v>
      </c>
      <c r="K224">
        <v>0</v>
      </c>
    </row>
    <row r="225" spans="1:11">
      <c r="A225">
        <v>23055</v>
      </c>
      <c r="B225" t="s">
        <v>837</v>
      </c>
      <c r="C225" t="s">
        <v>697</v>
      </c>
      <c r="D225" t="s">
        <v>107</v>
      </c>
      <c r="E225" t="s">
        <v>163</v>
      </c>
      <c r="F225">
        <v>43</v>
      </c>
      <c r="G225">
        <v>1977</v>
      </c>
      <c r="H225">
        <v>480</v>
      </c>
      <c r="I225">
        <v>3.4380000000000002</v>
      </c>
      <c r="J225">
        <v>112.07299999999999</v>
      </c>
      <c r="K225">
        <v>0</v>
      </c>
    </row>
    <row r="226" spans="1:11">
      <c r="A226">
        <v>22146</v>
      </c>
      <c r="B226" t="s">
        <v>1553</v>
      </c>
      <c r="C226" t="s">
        <v>577</v>
      </c>
      <c r="E226" t="s">
        <v>1554</v>
      </c>
      <c r="F226">
        <v>97</v>
      </c>
      <c r="G226">
        <v>1992</v>
      </c>
      <c r="H226">
        <v>642</v>
      </c>
      <c r="I226">
        <v>0</v>
      </c>
      <c r="J226">
        <v>0</v>
      </c>
      <c r="K226">
        <v>0</v>
      </c>
    </row>
    <row r="227" spans="1:11">
      <c r="A227">
        <v>24221</v>
      </c>
      <c r="B227" t="s">
        <v>838</v>
      </c>
      <c r="C227" t="s">
        <v>633</v>
      </c>
      <c r="D227" t="s">
        <v>107</v>
      </c>
      <c r="E227" t="s">
        <v>566</v>
      </c>
      <c r="F227">
        <v>51</v>
      </c>
      <c r="G227">
        <v>1969</v>
      </c>
      <c r="H227">
        <v>643</v>
      </c>
      <c r="I227">
        <v>0</v>
      </c>
      <c r="J227">
        <v>0</v>
      </c>
      <c r="K227">
        <v>0</v>
      </c>
    </row>
    <row r="228" spans="1:11">
      <c r="A228">
        <v>26061</v>
      </c>
      <c r="B228" t="s">
        <v>839</v>
      </c>
      <c r="C228" t="s">
        <v>608</v>
      </c>
      <c r="E228" t="s">
        <v>571</v>
      </c>
      <c r="F228">
        <v>27</v>
      </c>
      <c r="G228">
        <v>1957</v>
      </c>
      <c r="H228">
        <v>343</v>
      </c>
      <c r="I228">
        <v>8.1880000000000006</v>
      </c>
      <c r="J228">
        <v>323.28899999999999</v>
      </c>
      <c r="K228">
        <v>39</v>
      </c>
    </row>
    <row r="229" spans="1:11">
      <c r="A229">
        <v>16064</v>
      </c>
      <c r="B229" t="s">
        <v>840</v>
      </c>
      <c r="C229" t="s">
        <v>647</v>
      </c>
      <c r="E229" t="s">
        <v>841</v>
      </c>
      <c r="F229">
        <v>83</v>
      </c>
      <c r="G229">
        <v>1972</v>
      </c>
      <c r="H229">
        <v>337</v>
      </c>
      <c r="I229">
        <v>8.6259999999999994</v>
      </c>
      <c r="J229">
        <v>330.38600000000002</v>
      </c>
      <c r="K229">
        <v>0</v>
      </c>
    </row>
    <row r="230" spans="1:11">
      <c r="A230">
        <v>16065</v>
      </c>
      <c r="B230" t="s">
        <v>840</v>
      </c>
      <c r="C230" t="s">
        <v>664</v>
      </c>
      <c r="E230" t="s">
        <v>841</v>
      </c>
      <c r="F230">
        <v>83</v>
      </c>
      <c r="G230">
        <v>1977</v>
      </c>
      <c r="H230">
        <v>509</v>
      </c>
      <c r="I230">
        <v>1.75</v>
      </c>
      <c r="J230">
        <v>81.403000000000006</v>
      </c>
      <c r="K230">
        <v>0</v>
      </c>
    </row>
    <row r="231" spans="1:11">
      <c r="A231">
        <v>29053</v>
      </c>
      <c r="B231" t="s">
        <v>842</v>
      </c>
      <c r="C231" t="s">
        <v>582</v>
      </c>
      <c r="E231" t="s">
        <v>501</v>
      </c>
      <c r="F231">
        <v>64</v>
      </c>
      <c r="G231">
        <v>1975</v>
      </c>
      <c r="H231">
        <v>575</v>
      </c>
      <c r="I231">
        <v>0.625</v>
      </c>
      <c r="J231">
        <v>19.381</v>
      </c>
      <c r="K231">
        <v>0</v>
      </c>
    </row>
    <row r="232" spans="1:11">
      <c r="A232">
        <v>10138</v>
      </c>
      <c r="B232" t="s">
        <v>1555</v>
      </c>
      <c r="C232" t="s">
        <v>552</v>
      </c>
      <c r="E232" t="s">
        <v>606</v>
      </c>
      <c r="F232">
        <v>21</v>
      </c>
      <c r="G232">
        <v>2003</v>
      </c>
      <c r="H232">
        <v>57</v>
      </c>
      <c r="I232">
        <v>33.563000000000002</v>
      </c>
      <c r="J232">
        <v>2217.1419999999998</v>
      </c>
      <c r="K232">
        <v>963</v>
      </c>
    </row>
    <row r="233" spans="1:11">
      <c r="A233">
        <v>98465</v>
      </c>
      <c r="B233" t="s">
        <v>1556</v>
      </c>
      <c r="C233" t="s">
        <v>552</v>
      </c>
      <c r="E233" t="s">
        <v>606</v>
      </c>
      <c r="F233">
        <v>21</v>
      </c>
      <c r="G233">
        <v>1975</v>
      </c>
      <c r="H233">
        <v>476</v>
      </c>
      <c r="I233">
        <v>3</v>
      </c>
      <c r="J233">
        <v>115.842</v>
      </c>
      <c r="K233">
        <v>0</v>
      </c>
    </row>
    <row r="234" spans="1:11">
      <c r="A234">
        <v>24315</v>
      </c>
      <c r="B234" t="s">
        <v>843</v>
      </c>
      <c r="C234" t="s">
        <v>844</v>
      </c>
      <c r="D234" t="s">
        <v>107</v>
      </c>
      <c r="E234" t="s">
        <v>606</v>
      </c>
      <c r="F234">
        <v>21</v>
      </c>
      <c r="G234">
        <v>1995</v>
      </c>
      <c r="H234">
        <v>354</v>
      </c>
      <c r="I234">
        <v>2.9380000000000002</v>
      </c>
      <c r="J234">
        <v>303.72399999999999</v>
      </c>
      <c r="K234">
        <v>156</v>
      </c>
    </row>
    <row r="235" spans="1:11">
      <c r="A235">
        <v>20676</v>
      </c>
      <c r="B235" t="s">
        <v>843</v>
      </c>
      <c r="C235" t="s">
        <v>845</v>
      </c>
      <c r="D235" t="s">
        <v>107</v>
      </c>
      <c r="E235" t="s">
        <v>606</v>
      </c>
      <c r="F235">
        <v>21</v>
      </c>
      <c r="G235">
        <v>1973</v>
      </c>
      <c r="H235">
        <v>116</v>
      </c>
      <c r="I235">
        <v>28.251000000000001</v>
      </c>
      <c r="J235">
        <v>1590.829</v>
      </c>
      <c r="K235">
        <v>453</v>
      </c>
    </row>
    <row r="236" spans="1:11">
      <c r="A236">
        <v>23051</v>
      </c>
      <c r="B236" t="s">
        <v>1557</v>
      </c>
      <c r="C236" t="s">
        <v>562</v>
      </c>
      <c r="D236" t="s">
        <v>107</v>
      </c>
      <c r="E236" t="s">
        <v>513</v>
      </c>
      <c r="F236">
        <v>1</v>
      </c>
      <c r="G236">
        <v>1992</v>
      </c>
      <c r="H236">
        <v>644</v>
      </c>
      <c r="I236">
        <v>0</v>
      </c>
      <c r="J236">
        <v>0</v>
      </c>
      <c r="K236">
        <v>0</v>
      </c>
    </row>
    <row r="237" spans="1:11">
      <c r="A237">
        <v>11044</v>
      </c>
      <c r="B237" t="s">
        <v>847</v>
      </c>
      <c r="C237" t="s">
        <v>615</v>
      </c>
      <c r="E237" t="s">
        <v>592</v>
      </c>
      <c r="F237">
        <v>2</v>
      </c>
      <c r="G237">
        <v>1941</v>
      </c>
      <c r="H237">
        <v>107</v>
      </c>
      <c r="I237">
        <v>24.812999999999999</v>
      </c>
      <c r="J237">
        <v>1645.76</v>
      </c>
      <c r="K237">
        <v>626</v>
      </c>
    </row>
    <row r="238" spans="1:11">
      <c r="A238">
        <v>99591</v>
      </c>
      <c r="B238" t="s">
        <v>848</v>
      </c>
      <c r="C238" t="s">
        <v>602</v>
      </c>
      <c r="E238" t="s">
        <v>200</v>
      </c>
      <c r="F238">
        <v>19</v>
      </c>
      <c r="G238">
        <v>1961</v>
      </c>
      <c r="H238">
        <v>444</v>
      </c>
      <c r="I238">
        <v>1.625</v>
      </c>
      <c r="J238">
        <v>152.19800000000001</v>
      </c>
      <c r="K238">
        <v>91</v>
      </c>
    </row>
    <row r="239" spans="1:11">
      <c r="A239">
        <v>29027</v>
      </c>
      <c r="B239" t="s">
        <v>849</v>
      </c>
      <c r="C239" t="s">
        <v>850</v>
      </c>
      <c r="E239" t="s">
        <v>504</v>
      </c>
      <c r="F239">
        <v>63</v>
      </c>
      <c r="G239">
        <v>1953</v>
      </c>
      <c r="H239">
        <v>285</v>
      </c>
      <c r="I239">
        <v>11.939</v>
      </c>
      <c r="J239">
        <v>521.91200000000003</v>
      </c>
      <c r="K239">
        <v>102</v>
      </c>
    </row>
    <row r="240" spans="1:11">
      <c r="A240">
        <v>14057</v>
      </c>
      <c r="B240" t="s">
        <v>851</v>
      </c>
      <c r="C240" t="s">
        <v>557</v>
      </c>
      <c r="E240" t="s">
        <v>606</v>
      </c>
      <c r="F240">
        <v>21</v>
      </c>
      <c r="G240">
        <v>1988</v>
      </c>
      <c r="H240">
        <v>113</v>
      </c>
      <c r="I240">
        <v>25.876000000000001</v>
      </c>
      <c r="J240">
        <v>1602.8050000000001</v>
      </c>
      <c r="K240">
        <v>552</v>
      </c>
    </row>
    <row r="241" spans="1:11">
      <c r="A241">
        <v>26020</v>
      </c>
      <c r="B241" t="s">
        <v>853</v>
      </c>
      <c r="C241" t="s">
        <v>552</v>
      </c>
      <c r="E241" t="s">
        <v>765</v>
      </c>
      <c r="F241">
        <v>56</v>
      </c>
      <c r="G241">
        <v>1990</v>
      </c>
      <c r="H241">
        <v>382</v>
      </c>
      <c r="I241">
        <v>7.5</v>
      </c>
      <c r="J241">
        <v>251.57599999999999</v>
      </c>
      <c r="K241">
        <v>0</v>
      </c>
    </row>
    <row r="242" spans="1:11">
      <c r="A242">
        <v>25055</v>
      </c>
      <c r="B242" t="s">
        <v>853</v>
      </c>
      <c r="C242" t="s">
        <v>736</v>
      </c>
      <c r="E242" t="s">
        <v>765</v>
      </c>
      <c r="F242">
        <v>56</v>
      </c>
      <c r="G242">
        <v>1965</v>
      </c>
      <c r="H242">
        <v>24</v>
      </c>
      <c r="I242">
        <v>38.625</v>
      </c>
      <c r="J242">
        <v>3024.442</v>
      </c>
      <c r="K242">
        <v>1655</v>
      </c>
    </row>
    <row r="243" spans="1:11">
      <c r="A243">
        <v>24321</v>
      </c>
      <c r="B243" t="s">
        <v>854</v>
      </c>
      <c r="C243" t="s">
        <v>582</v>
      </c>
      <c r="E243" t="s">
        <v>198</v>
      </c>
      <c r="F243">
        <v>17</v>
      </c>
      <c r="G243">
        <v>1966</v>
      </c>
      <c r="H243">
        <v>447</v>
      </c>
      <c r="I243">
        <v>3.9380000000000002</v>
      </c>
      <c r="J243">
        <v>150.874</v>
      </c>
      <c r="K243">
        <v>0</v>
      </c>
    </row>
    <row r="244" spans="1:11">
      <c r="A244">
        <v>16107</v>
      </c>
      <c r="B244" t="s">
        <v>855</v>
      </c>
      <c r="C244" t="s">
        <v>856</v>
      </c>
      <c r="E244" t="s">
        <v>170</v>
      </c>
      <c r="F244">
        <v>14</v>
      </c>
      <c r="G244">
        <v>1993</v>
      </c>
      <c r="H244">
        <v>105</v>
      </c>
      <c r="I244">
        <v>21.376000000000001</v>
      </c>
      <c r="J244">
        <v>1701.5250000000001</v>
      </c>
      <c r="K244">
        <v>700</v>
      </c>
    </row>
    <row r="245" spans="1:11">
      <c r="A245">
        <v>14084</v>
      </c>
      <c r="B245" t="s">
        <v>857</v>
      </c>
      <c r="C245" t="s">
        <v>664</v>
      </c>
      <c r="E245" t="s">
        <v>553</v>
      </c>
      <c r="F245">
        <v>79</v>
      </c>
      <c r="G245">
        <v>1983</v>
      </c>
      <c r="H245">
        <v>645</v>
      </c>
      <c r="I245">
        <v>0</v>
      </c>
      <c r="J245">
        <v>0</v>
      </c>
      <c r="K245">
        <v>0</v>
      </c>
    </row>
    <row r="246" spans="1:11">
      <c r="A246">
        <v>13083</v>
      </c>
      <c r="B246" t="s">
        <v>858</v>
      </c>
      <c r="C246" t="s">
        <v>554</v>
      </c>
      <c r="E246" t="s">
        <v>163</v>
      </c>
      <c r="F246">
        <v>43</v>
      </c>
      <c r="G246">
        <v>1952</v>
      </c>
      <c r="H246">
        <v>571</v>
      </c>
      <c r="I246">
        <v>0.68799999999999994</v>
      </c>
      <c r="J246">
        <v>22.861999999999998</v>
      </c>
      <c r="K246">
        <v>0</v>
      </c>
    </row>
    <row r="247" spans="1:11">
      <c r="A247">
        <v>24342</v>
      </c>
      <c r="B247" t="s">
        <v>859</v>
      </c>
      <c r="C247" t="s">
        <v>568</v>
      </c>
      <c r="E247" t="s">
        <v>612</v>
      </c>
      <c r="F247">
        <v>62</v>
      </c>
      <c r="G247">
        <v>1950</v>
      </c>
      <c r="H247">
        <v>326</v>
      </c>
      <c r="I247">
        <v>12.188000000000001</v>
      </c>
      <c r="J247">
        <v>361.79599999999999</v>
      </c>
      <c r="K247">
        <v>71</v>
      </c>
    </row>
    <row r="248" spans="1:11">
      <c r="A248">
        <v>13060</v>
      </c>
      <c r="B248" t="s">
        <v>859</v>
      </c>
      <c r="C248" t="s">
        <v>582</v>
      </c>
      <c r="E248" t="s">
        <v>573</v>
      </c>
      <c r="F248">
        <v>16</v>
      </c>
      <c r="G248">
        <v>1972</v>
      </c>
      <c r="H248">
        <v>63</v>
      </c>
      <c r="I248">
        <v>36</v>
      </c>
      <c r="J248">
        <v>2125.4169999999999</v>
      </c>
      <c r="K248">
        <v>731</v>
      </c>
    </row>
    <row r="249" spans="1:11">
      <c r="A249">
        <v>23251</v>
      </c>
      <c r="B249" t="s">
        <v>1558</v>
      </c>
      <c r="C249" t="s">
        <v>796</v>
      </c>
      <c r="D249" t="s">
        <v>107</v>
      </c>
      <c r="E249" t="s">
        <v>599</v>
      </c>
      <c r="F249">
        <v>73</v>
      </c>
      <c r="G249">
        <v>1951</v>
      </c>
      <c r="H249">
        <v>388</v>
      </c>
      <c r="I249">
        <v>6.0650000000000004</v>
      </c>
      <c r="J249">
        <v>232.82499999999999</v>
      </c>
      <c r="K249">
        <v>0</v>
      </c>
    </row>
    <row r="250" spans="1:11">
      <c r="A250">
        <v>24319</v>
      </c>
      <c r="B250" t="s">
        <v>860</v>
      </c>
      <c r="C250" t="s">
        <v>568</v>
      </c>
      <c r="E250" t="s">
        <v>200</v>
      </c>
      <c r="F250">
        <v>19</v>
      </c>
      <c r="G250">
        <v>1946</v>
      </c>
      <c r="H250">
        <v>557</v>
      </c>
      <c r="I250">
        <v>0.46899999999999997</v>
      </c>
      <c r="J250">
        <v>32.652999999999999</v>
      </c>
      <c r="K250">
        <v>15</v>
      </c>
    </row>
    <row r="251" spans="1:11">
      <c r="A251">
        <v>18039</v>
      </c>
      <c r="B251" t="s">
        <v>861</v>
      </c>
      <c r="C251" t="s">
        <v>556</v>
      </c>
      <c r="D251" t="s">
        <v>107</v>
      </c>
      <c r="E251" t="s">
        <v>797</v>
      </c>
      <c r="F251">
        <v>77</v>
      </c>
      <c r="G251">
        <v>1978</v>
      </c>
      <c r="H251">
        <v>415</v>
      </c>
      <c r="I251">
        <v>1.6559999999999999</v>
      </c>
      <c r="J251">
        <v>197.19399999999999</v>
      </c>
      <c r="K251">
        <v>114</v>
      </c>
    </row>
    <row r="252" spans="1:11">
      <c r="A252">
        <v>10036</v>
      </c>
      <c r="B252" t="s">
        <v>861</v>
      </c>
      <c r="C252" t="s">
        <v>714</v>
      </c>
      <c r="D252" t="s">
        <v>107</v>
      </c>
      <c r="E252" t="s">
        <v>747</v>
      </c>
      <c r="F252">
        <v>68</v>
      </c>
      <c r="G252">
        <v>1983</v>
      </c>
      <c r="H252">
        <v>492</v>
      </c>
      <c r="I252">
        <v>2.657</v>
      </c>
      <c r="J252">
        <v>101.636</v>
      </c>
      <c r="K252">
        <v>0</v>
      </c>
    </row>
    <row r="253" spans="1:11">
      <c r="A253">
        <v>19027</v>
      </c>
      <c r="B253" t="s">
        <v>863</v>
      </c>
      <c r="C253" t="s">
        <v>552</v>
      </c>
      <c r="E253" t="s">
        <v>553</v>
      </c>
      <c r="F253">
        <v>79</v>
      </c>
      <c r="G253">
        <v>1973</v>
      </c>
      <c r="H253">
        <v>646</v>
      </c>
      <c r="I253">
        <v>0</v>
      </c>
      <c r="J253">
        <v>0</v>
      </c>
      <c r="K253">
        <v>0</v>
      </c>
    </row>
    <row r="254" spans="1:11">
      <c r="A254">
        <v>14001</v>
      </c>
      <c r="B254" t="s">
        <v>865</v>
      </c>
      <c r="C254" t="s">
        <v>602</v>
      </c>
      <c r="E254" t="s">
        <v>606</v>
      </c>
      <c r="F254">
        <v>21</v>
      </c>
      <c r="G254">
        <v>2004</v>
      </c>
      <c r="H254">
        <v>647</v>
      </c>
      <c r="I254">
        <v>0</v>
      </c>
      <c r="J254">
        <v>0</v>
      </c>
      <c r="K254">
        <v>0</v>
      </c>
    </row>
    <row r="255" spans="1:11">
      <c r="A255">
        <v>25046</v>
      </c>
      <c r="B255" t="s">
        <v>865</v>
      </c>
      <c r="C255" t="s">
        <v>554</v>
      </c>
      <c r="E255" t="s">
        <v>606</v>
      </c>
      <c r="F255">
        <v>21</v>
      </c>
      <c r="G255">
        <v>1977</v>
      </c>
      <c r="H255">
        <v>648</v>
      </c>
      <c r="I255">
        <v>0</v>
      </c>
      <c r="J255">
        <v>0</v>
      </c>
      <c r="K255">
        <v>0</v>
      </c>
    </row>
    <row r="256" spans="1:11">
      <c r="A256">
        <v>96046</v>
      </c>
      <c r="B256" t="s">
        <v>865</v>
      </c>
      <c r="C256" t="s">
        <v>827</v>
      </c>
      <c r="E256" t="s">
        <v>606</v>
      </c>
      <c r="F256">
        <v>21</v>
      </c>
      <c r="G256">
        <v>1952</v>
      </c>
      <c r="H256">
        <v>564</v>
      </c>
      <c r="I256">
        <v>1.125</v>
      </c>
      <c r="J256">
        <v>28.803000000000001</v>
      </c>
      <c r="K256">
        <v>0</v>
      </c>
    </row>
    <row r="257" spans="1:11">
      <c r="A257">
        <v>11032</v>
      </c>
      <c r="B257" t="s">
        <v>1559</v>
      </c>
      <c r="C257" t="s">
        <v>554</v>
      </c>
      <c r="E257" t="s">
        <v>606</v>
      </c>
      <c r="F257">
        <v>21</v>
      </c>
      <c r="G257">
        <v>1998</v>
      </c>
      <c r="H257">
        <v>403</v>
      </c>
      <c r="I257">
        <v>6.875</v>
      </c>
      <c r="J257">
        <v>211.876</v>
      </c>
      <c r="K257">
        <v>0</v>
      </c>
    </row>
    <row r="258" spans="1:11">
      <c r="A258">
        <v>96045</v>
      </c>
      <c r="B258" t="s">
        <v>1560</v>
      </c>
      <c r="C258" t="s">
        <v>554</v>
      </c>
      <c r="E258" t="s">
        <v>606</v>
      </c>
      <c r="F258">
        <v>21</v>
      </c>
      <c r="G258">
        <v>1958</v>
      </c>
      <c r="H258">
        <v>410</v>
      </c>
      <c r="I258">
        <v>6.375</v>
      </c>
      <c r="J258">
        <v>199.07400000000001</v>
      </c>
      <c r="K258">
        <v>0</v>
      </c>
    </row>
    <row r="259" spans="1:11">
      <c r="A259">
        <v>24278</v>
      </c>
      <c r="B259" t="s">
        <v>866</v>
      </c>
      <c r="C259" t="s">
        <v>557</v>
      </c>
      <c r="E259" t="s">
        <v>164</v>
      </c>
      <c r="F259">
        <v>52</v>
      </c>
      <c r="G259">
        <v>1988</v>
      </c>
      <c r="H259">
        <v>432</v>
      </c>
      <c r="I259">
        <v>4.5</v>
      </c>
      <c r="J259">
        <v>164.49199999999999</v>
      </c>
      <c r="K259">
        <v>0</v>
      </c>
    </row>
    <row r="260" spans="1:11">
      <c r="A260">
        <v>24277</v>
      </c>
      <c r="B260" t="s">
        <v>866</v>
      </c>
      <c r="C260" t="s">
        <v>583</v>
      </c>
      <c r="E260" t="s">
        <v>164</v>
      </c>
      <c r="F260">
        <v>52</v>
      </c>
      <c r="G260">
        <v>1974</v>
      </c>
      <c r="H260">
        <v>417</v>
      </c>
      <c r="I260">
        <v>5.3129999999999997</v>
      </c>
      <c r="J260">
        <v>192.29</v>
      </c>
      <c r="K260">
        <v>0</v>
      </c>
    </row>
    <row r="261" spans="1:11">
      <c r="A261">
        <v>23242</v>
      </c>
      <c r="B261" t="s">
        <v>1561</v>
      </c>
      <c r="C261" t="s">
        <v>556</v>
      </c>
      <c r="D261" t="s">
        <v>107</v>
      </c>
      <c r="E261" t="s">
        <v>164</v>
      </c>
      <c r="F261">
        <v>52</v>
      </c>
      <c r="G261">
        <v>1950</v>
      </c>
      <c r="H261">
        <v>649</v>
      </c>
      <c r="I261">
        <v>0</v>
      </c>
      <c r="J261">
        <v>0</v>
      </c>
      <c r="K261">
        <v>0</v>
      </c>
    </row>
    <row r="262" spans="1:11">
      <c r="A262">
        <v>24526</v>
      </c>
      <c r="B262" t="s">
        <v>1562</v>
      </c>
      <c r="C262" t="s">
        <v>577</v>
      </c>
      <c r="D262" t="s">
        <v>91</v>
      </c>
      <c r="E262" t="s">
        <v>513</v>
      </c>
      <c r="F262">
        <v>1</v>
      </c>
      <c r="G262">
        <v>2011</v>
      </c>
      <c r="H262">
        <v>650</v>
      </c>
      <c r="I262">
        <v>0</v>
      </c>
      <c r="J262">
        <v>0</v>
      </c>
      <c r="K262">
        <v>0</v>
      </c>
    </row>
    <row r="263" spans="1:11">
      <c r="A263">
        <v>22168</v>
      </c>
      <c r="B263" t="s">
        <v>1563</v>
      </c>
      <c r="C263" t="s">
        <v>596</v>
      </c>
      <c r="D263" t="s">
        <v>107</v>
      </c>
      <c r="E263" t="s">
        <v>792</v>
      </c>
      <c r="F263">
        <v>93</v>
      </c>
      <c r="G263">
        <v>1961</v>
      </c>
      <c r="H263">
        <v>294</v>
      </c>
      <c r="I263">
        <v>14.157</v>
      </c>
      <c r="J263">
        <v>493.44299999999998</v>
      </c>
      <c r="K263">
        <v>47</v>
      </c>
    </row>
    <row r="264" spans="1:11">
      <c r="A264">
        <v>25011</v>
      </c>
      <c r="B264" t="s">
        <v>867</v>
      </c>
      <c r="C264" t="s">
        <v>569</v>
      </c>
      <c r="E264" t="s">
        <v>501</v>
      </c>
      <c r="F264">
        <v>64</v>
      </c>
      <c r="G264">
        <v>1963</v>
      </c>
      <c r="H264">
        <v>104</v>
      </c>
      <c r="I264">
        <v>25.407</v>
      </c>
      <c r="J264">
        <v>1710.2529999999999</v>
      </c>
      <c r="K264">
        <v>766</v>
      </c>
    </row>
    <row r="265" spans="1:11">
      <c r="A265">
        <v>15077</v>
      </c>
      <c r="B265" t="s">
        <v>868</v>
      </c>
      <c r="C265" t="s">
        <v>852</v>
      </c>
      <c r="D265" t="s">
        <v>107</v>
      </c>
      <c r="E265" t="s">
        <v>515</v>
      </c>
      <c r="F265">
        <v>13</v>
      </c>
      <c r="G265">
        <v>1978</v>
      </c>
      <c r="H265">
        <v>583</v>
      </c>
      <c r="I265">
        <v>0.78100000000000003</v>
      </c>
      <c r="J265">
        <v>17.783000000000001</v>
      </c>
      <c r="K265">
        <v>0</v>
      </c>
    </row>
    <row r="266" spans="1:11">
      <c r="A266">
        <v>20533</v>
      </c>
      <c r="B266" t="s">
        <v>869</v>
      </c>
      <c r="C266" t="s">
        <v>594</v>
      </c>
      <c r="D266" t="s">
        <v>107</v>
      </c>
      <c r="E266" t="s">
        <v>666</v>
      </c>
      <c r="F266">
        <v>87</v>
      </c>
      <c r="G266">
        <v>1949</v>
      </c>
      <c r="H266">
        <v>204</v>
      </c>
      <c r="I266">
        <v>13.688000000000001</v>
      </c>
      <c r="J266">
        <v>912.49300000000005</v>
      </c>
      <c r="K266">
        <v>437</v>
      </c>
    </row>
    <row r="267" spans="1:11">
      <c r="A267">
        <v>98307</v>
      </c>
      <c r="B267" t="s">
        <v>870</v>
      </c>
      <c r="C267" t="s">
        <v>745</v>
      </c>
      <c r="E267" t="s">
        <v>161</v>
      </c>
      <c r="F267">
        <v>30</v>
      </c>
      <c r="G267">
        <v>1979</v>
      </c>
      <c r="H267">
        <v>156</v>
      </c>
      <c r="I267">
        <v>24.719000000000001</v>
      </c>
      <c r="J267">
        <v>1225.502</v>
      </c>
      <c r="K267">
        <v>345</v>
      </c>
    </row>
    <row r="268" spans="1:11">
      <c r="A268">
        <v>11011</v>
      </c>
      <c r="B268" t="s">
        <v>871</v>
      </c>
      <c r="C268" t="s">
        <v>582</v>
      </c>
      <c r="E268" t="s">
        <v>170</v>
      </c>
      <c r="F268">
        <v>14</v>
      </c>
      <c r="G268">
        <v>1984</v>
      </c>
      <c r="H268">
        <v>65</v>
      </c>
      <c r="I268">
        <v>39.5</v>
      </c>
      <c r="J268">
        <v>2116.6350000000002</v>
      </c>
      <c r="K268">
        <v>620</v>
      </c>
    </row>
    <row r="269" spans="1:11">
      <c r="A269">
        <v>21769</v>
      </c>
      <c r="B269" t="s">
        <v>872</v>
      </c>
      <c r="C269" t="s">
        <v>802</v>
      </c>
      <c r="E269" t="s">
        <v>200</v>
      </c>
      <c r="F269">
        <v>19</v>
      </c>
      <c r="G269">
        <v>1986</v>
      </c>
      <c r="H269">
        <v>651</v>
      </c>
      <c r="I269">
        <v>0</v>
      </c>
      <c r="J269">
        <v>0</v>
      </c>
      <c r="K269">
        <v>0</v>
      </c>
    </row>
    <row r="270" spans="1:11">
      <c r="A270">
        <v>99590</v>
      </c>
      <c r="B270" t="s">
        <v>872</v>
      </c>
      <c r="C270" t="s">
        <v>660</v>
      </c>
      <c r="E270" t="s">
        <v>200</v>
      </c>
      <c r="F270">
        <v>19</v>
      </c>
      <c r="G270">
        <v>1961</v>
      </c>
      <c r="H270">
        <v>340</v>
      </c>
      <c r="I270">
        <v>8.875</v>
      </c>
      <c r="J270">
        <v>328.65699999999998</v>
      </c>
      <c r="K270">
        <v>80</v>
      </c>
    </row>
    <row r="271" spans="1:11">
      <c r="A271">
        <v>11041</v>
      </c>
      <c r="B271" t="s">
        <v>873</v>
      </c>
      <c r="C271" t="s">
        <v>697</v>
      </c>
      <c r="D271" t="s">
        <v>107</v>
      </c>
      <c r="E271" t="s">
        <v>513</v>
      </c>
      <c r="F271">
        <v>1</v>
      </c>
      <c r="G271">
        <v>2002</v>
      </c>
      <c r="H271">
        <v>237</v>
      </c>
      <c r="I271">
        <v>10.032</v>
      </c>
      <c r="J271">
        <v>722.65599999999995</v>
      </c>
      <c r="K271">
        <v>270</v>
      </c>
    </row>
    <row r="272" spans="1:11">
      <c r="A272">
        <v>25087</v>
      </c>
      <c r="B272" t="s">
        <v>874</v>
      </c>
      <c r="C272" t="s">
        <v>711</v>
      </c>
      <c r="D272" t="s">
        <v>107</v>
      </c>
      <c r="E272" t="s">
        <v>571</v>
      </c>
      <c r="F272">
        <v>27</v>
      </c>
      <c r="G272">
        <v>1970</v>
      </c>
      <c r="H272">
        <v>527</v>
      </c>
      <c r="I272">
        <v>1.8129999999999999</v>
      </c>
      <c r="J272">
        <v>63.463000000000001</v>
      </c>
      <c r="K272">
        <v>0</v>
      </c>
    </row>
    <row r="273" spans="1:11">
      <c r="A273">
        <v>13029</v>
      </c>
      <c r="B273" t="s">
        <v>875</v>
      </c>
      <c r="C273" t="s">
        <v>559</v>
      </c>
      <c r="E273" t="s">
        <v>501</v>
      </c>
      <c r="F273">
        <v>64</v>
      </c>
      <c r="G273">
        <v>1961</v>
      </c>
      <c r="H273">
        <v>51</v>
      </c>
      <c r="I273">
        <v>42.75</v>
      </c>
      <c r="J273">
        <v>2288.8359999999998</v>
      </c>
      <c r="K273">
        <v>872</v>
      </c>
    </row>
    <row r="274" spans="1:11">
      <c r="A274">
        <v>22162</v>
      </c>
      <c r="B274" t="s">
        <v>1564</v>
      </c>
      <c r="C274" t="s">
        <v>1565</v>
      </c>
      <c r="E274" t="s">
        <v>792</v>
      </c>
      <c r="F274">
        <v>93</v>
      </c>
      <c r="G274">
        <v>2006</v>
      </c>
      <c r="H274">
        <v>391</v>
      </c>
      <c r="I274">
        <v>4.7190000000000003</v>
      </c>
      <c r="J274">
        <v>231.28</v>
      </c>
      <c r="K274">
        <v>87</v>
      </c>
    </row>
    <row r="275" spans="1:11">
      <c r="A275">
        <v>14010</v>
      </c>
      <c r="B275" t="s">
        <v>1566</v>
      </c>
      <c r="C275" t="s">
        <v>572</v>
      </c>
      <c r="D275" t="s">
        <v>107</v>
      </c>
      <c r="E275" t="s">
        <v>592</v>
      </c>
      <c r="F275">
        <v>2</v>
      </c>
      <c r="G275">
        <v>1975</v>
      </c>
      <c r="H275">
        <v>299</v>
      </c>
      <c r="I275">
        <v>12.532999999999999</v>
      </c>
      <c r="J275">
        <v>453.66500000000002</v>
      </c>
      <c r="K275">
        <v>0</v>
      </c>
    </row>
    <row r="276" spans="1:11">
      <c r="A276">
        <v>20608</v>
      </c>
      <c r="B276" t="s">
        <v>876</v>
      </c>
      <c r="C276" t="s">
        <v>583</v>
      </c>
      <c r="E276" t="s">
        <v>597</v>
      </c>
      <c r="F276">
        <v>95</v>
      </c>
      <c r="G276">
        <v>1958</v>
      </c>
      <c r="H276">
        <v>584</v>
      </c>
      <c r="I276">
        <v>0.78100000000000003</v>
      </c>
      <c r="J276">
        <v>17.783000000000001</v>
      </c>
      <c r="K276">
        <v>0</v>
      </c>
    </row>
    <row r="277" spans="1:11">
      <c r="A277">
        <v>11038</v>
      </c>
      <c r="B277" t="s">
        <v>877</v>
      </c>
      <c r="C277" t="s">
        <v>639</v>
      </c>
      <c r="E277" t="s">
        <v>513</v>
      </c>
      <c r="F277">
        <v>1</v>
      </c>
      <c r="G277">
        <v>1979</v>
      </c>
      <c r="H277">
        <v>266</v>
      </c>
      <c r="I277">
        <v>8.0640000000000001</v>
      </c>
      <c r="J277">
        <v>588.75699999999995</v>
      </c>
      <c r="K277">
        <v>263</v>
      </c>
    </row>
    <row r="278" spans="1:11">
      <c r="A278">
        <v>28007</v>
      </c>
      <c r="B278" t="s">
        <v>878</v>
      </c>
      <c r="C278" t="s">
        <v>726</v>
      </c>
      <c r="E278" t="s">
        <v>170</v>
      </c>
      <c r="F278">
        <v>14</v>
      </c>
      <c r="G278">
        <v>1993</v>
      </c>
      <c r="H278">
        <v>178</v>
      </c>
      <c r="I278">
        <v>18.062999999999999</v>
      </c>
      <c r="J278">
        <v>1046.0530000000001</v>
      </c>
      <c r="K278">
        <v>272</v>
      </c>
    </row>
    <row r="279" spans="1:11">
      <c r="A279">
        <v>10139</v>
      </c>
      <c r="B279" t="s">
        <v>879</v>
      </c>
      <c r="C279" t="s">
        <v>554</v>
      </c>
      <c r="E279" t="s">
        <v>170</v>
      </c>
      <c r="F279">
        <v>14</v>
      </c>
      <c r="G279">
        <v>1946</v>
      </c>
      <c r="H279">
        <v>201</v>
      </c>
      <c r="I279">
        <v>17.126999999999999</v>
      </c>
      <c r="J279">
        <v>929.49699999999996</v>
      </c>
      <c r="K279">
        <v>328</v>
      </c>
    </row>
    <row r="280" spans="1:11">
      <c r="A280">
        <v>17022</v>
      </c>
      <c r="B280" t="s">
        <v>880</v>
      </c>
      <c r="C280" t="s">
        <v>881</v>
      </c>
      <c r="D280" t="s">
        <v>107</v>
      </c>
      <c r="E280" t="s">
        <v>768</v>
      </c>
      <c r="F280">
        <v>45</v>
      </c>
      <c r="G280">
        <v>1969</v>
      </c>
      <c r="H280">
        <v>377</v>
      </c>
      <c r="I280">
        <v>8.5329999999999995</v>
      </c>
      <c r="J280">
        <v>266.95</v>
      </c>
      <c r="K280">
        <v>0</v>
      </c>
    </row>
    <row r="281" spans="1:11">
      <c r="A281">
        <v>24510</v>
      </c>
      <c r="B281" t="s">
        <v>1567</v>
      </c>
      <c r="C281" t="s">
        <v>569</v>
      </c>
      <c r="D281" t="s">
        <v>91</v>
      </c>
      <c r="E281" t="s">
        <v>782</v>
      </c>
      <c r="F281">
        <v>90</v>
      </c>
      <c r="G281">
        <v>2010</v>
      </c>
      <c r="H281">
        <v>652</v>
      </c>
      <c r="I281">
        <v>0</v>
      </c>
      <c r="J281">
        <v>0</v>
      </c>
      <c r="K281">
        <v>0</v>
      </c>
    </row>
    <row r="282" spans="1:11">
      <c r="A282">
        <v>24539</v>
      </c>
      <c r="B282" t="s">
        <v>1568</v>
      </c>
      <c r="C282" t="s">
        <v>749</v>
      </c>
      <c r="D282" t="s">
        <v>91</v>
      </c>
      <c r="E282" t="s">
        <v>1349</v>
      </c>
      <c r="F282">
        <v>96</v>
      </c>
      <c r="G282">
        <v>2017</v>
      </c>
      <c r="H282">
        <v>653</v>
      </c>
      <c r="I282">
        <v>0</v>
      </c>
      <c r="J282">
        <v>0</v>
      </c>
      <c r="K282">
        <v>0</v>
      </c>
    </row>
    <row r="283" spans="1:11">
      <c r="A283">
        <v>27039</v>
      </c>
      <c r="B283" t="s">
        <v>1569</v>
      </c>
      <c r="C283" t="s">
        <v>749</v>
      </c>
      <c r="E283" t="s">
        <v>1349</v>
      </c>
      <c r="F283">
        <v>96</v>
      </c>
      <c r="G283">
        <v>1966</v>
      </c>
      <c r="H283">
        <v>4</v>
      </c>
      <c r="I283">
        <v>49.75</v>
      </c>
      <c r="J283">
        <v>3986.0909999999999</v>
      </c>
      <c r="K283">
        <v>1892</v>
      </c>
    </row>
    <row r="284" spans="1:11">
      <c r="A284">
        <v>10080</v>
      </c>
      <c r="B284" t="s">
        <v>882</v>
      </c>
      <c r="C284" t="s">
        <v>883</v>
      </c>
      <c r="E284" t="s">
        <v>584</v>
      </c>
      <c r="F284">
        <v>69</v>
      </c>
      <c r="G284">
        <v>1960</v>
      </c>
      <c r="H284">
        <v>654</v>
      </c>
      <c r="I284">
        <v>0</v>
      </c>
      <c r="J284">
        <v>0</v>
      </c>
      <c r="K284">
        <v>0</v>
      </c>
    </row>
    <row r="285" spans="1:11">
      <c r="A285">
        <v>16029</v>
      </c>
      <c r="B285" t="s">
        <v>884</v>
      </c>
      <c r="C285" t="s">
        <v>710</v>
      </c>
      <c r="D285" t="s">
        <v>107</v>
      </c>
      <c r="E285" t="s">
        <v>553</v>
      </c>
      <c r="F285">
        <v>79</v>
      </c>
      <c r="G285">
        <v>1982</v>
      </c>
      <c r="H285">
        <v>72</v>
      </c>
      <c r="I285">
        <v>31</v>
      </c>
      <c r="J285">
        <v>2052.3249999999998</v>
      </c>
      <c r="K285">
        <v>828</v>
      </c>
    </row>
    <row r="286" spans="1:11">
      <c r="A286">
        <v>16119</v>
      </c>
      <c r="B286" t="s">
        <v>1570</v>
      </c>
      <c r="C286" t="s">
        <v>885</v>
      </c>
      <c r="D286" t="s">
        <v>107</v>
      </c>
      <c r="E286" t="s">
        <v>553</v>
      </c>
      <c r="F286">
        <v>79</v>
      </c>
      <c r="G286">
        <v>1983</v>
      </c>
      <c r="H286">
        <v>655</v>
      </c>
      <c r="I286">
        <v>0</v>
      </c>
      <c r="J286">
        <v>0</v>
      </c>
      <c r="K286">
        <v>0</v>
      </c>
    </row>
    <row r="287" spans="1:11">
      <c r="A287">
        <v>20501</v>
      </c>
      <c r="B287" t="s">
        <v>886</v>
      </c>
      <c r="C287" t="s">
        <v>887</v>
      </c>
      <c r="D287" t="s">
        <v>107</v>
      </c>
      <c r="E287" t="s">
        <v>513</v>
      </c>
      <c r="F287">
        <v>1</v>
      </c>
      <c r="G287">
        <v>1949</v>
      </c>
      <c r="H287">
        <v>518</v>
      </c>
      <c r="I287">
        <v>2.0939999999999999</v>
      </c>
      <c r="J287">
        <v>68.759</v>
      </c>
      <c r="K287">
        <v>0</v>
      </c>
    </row>
    <row r="288" spans="1:11">
      <c r="A288">
        <v>18047</v>
      </c>
      <c r="B288" t="s">
        <v>1571</v>
      </c>
      <c r="C288" t="s">
        <v>739</v>
      </c>
      <c r="D288" t="s">
        <v>107</v>
      </c>
      <c r="E288" t="s">
        <v>584</v>
      </c>
      <c r="F288">
        <v>69</v>
      </c>
      <c r="G288">
        <v>1977</v>
      </c>
      <c r="H288">
        <v>304</v>
      </c>
      <c r="I288">
        <v>8.407</v>
      </c>
      <c r="J288">
        <v>448.11799999999999</v>
      </c>
      <c r="K288">
        <v>203</v>
      </c>
    </row>
    <row r="289" spans="1:11">
      <c r="A289">
        <v>22103</v>
      </c>
      <c r="B289" t="s">
        <v>1572</v>
      </c>
      <c r="C289" t="s">
        <v>583</v>
      </c>
      <c r="E289" t="s">
        <v>606</v>
      </c>
      <c r="F289">
        <v>21</v>
      </c>
      <c r="G289">
        <v>1967</v>
      </c>
      <c r="H289">
        <v>554</v>
      </c>
      <c r="I289">
        <v>1.375</v>
      </c>
      <c r="J289">
        <v>35.204000000000001</v>
      </c>
      <c r="K289">
        <v>0</v>
      </c>
    </row>
    <row r="290" spans="1:11">
      <c r="A290">
        <v>14099</v>
      </c>
      <c r="B290" t="s">
        <v>888</v>
      </c>
      <c r="C290" t="s">
        <v>889</v>
      </c>
      <c r="E290" t="s">
        <v>553</v>
      </c>
      <c r="F290">
        <v>79</v>
      </c>
      <c r="G290">
        <v>1982</v>
      </c>
      <c r="H290">
        <v>69</v>
      </c>
      <c r="I290">
        <v>32.75</v>
      </c>
      <c r="J290">
        <v>2062.7710000000002</v>
      </c>
      <c r="K290">
        <v>997</v>
      </c>
    </row>
    <row r="291" spans="1:11">
      <c r="A291">
        <v>14026</v>
      </c>
      <c r="B291" t="s">
        <v>890</v>
      </c>
      <c r="C291" t="s">
        <v>690</v>
      </c>
      <c r="D291" t="s">
        <v>107</v>
      </c>
      <c r="E291" t="s">
        <v>156</v>
      </c>
      <c r="F291">
        <v>6</v>
      </c>
      <c r="G291">
        <v>1953</v>
      </c>
      <c r="H291">
        <v>588</v>
      </c>
      <c r="I291">
        <v>6.3E-2</v>
      </c>
      <c r="J291">
        <v>17.649999999999999</v>
      </c>
      <c r="K291">
        <v>15</v>
      </c>
    </row>
    <row r="292" spans="1:11">
      <c r="A292">
        <v>14077</v>
      </c>
      <c r="B292" t="s">
        <v>891</v>
      </c>
      <c r="C292" t="s">
        <v>589</v>
      </c>
      <c r="E292" t="s">
        <v>553</v>
      </c>
      <c r="F292">
        <v>79</v>
      </c>
      <c r="G292">
        <v>1989</v>
      </c>
      <c r="H292">
        <v>656</v>
      </c>
      <c r="I292">
        <v>0</v>
      </c>
      <c r="J292">
        <v>0</v>
      </c>
      <c r="K292">
        <v>0</v>
      </c>
    </row>
    <row r="293" spans="1:11">
      <c r="A293">
        <v>14076</v>
      </c>
      <c r="B293" t="s">
        <v>891</v>
      </c>
      <c r="C293" t="s">
        <v>569</v>
      </c>
      <c r="E293" t="s">
        <v>553</v>
      </c>
      <c r="F293">
        <v>79</v>
      </c>
      <c r="G293">
        <v>1985</v>
      </c>
      <c r="H293">
        <v>142</v>
      </c>
      <c r="I293">
        <v>18.690000000000001</v>
      </c>
      <c r="J293">
        <v>1299.9000000000001</v>
      </c>
      <c r="K293">
        <v>573</v>
      </c>
    </row>
    <row r="294" spans="1:11">
      <c r="A294">
        <v>19013</v>
      </c>
      <c r="B294" t="s">
        <v>892</v>
      </c>
      <c r="C294" t="s">
        <v>568</v>
      </c>
      <c r="E294" t="s">
        <v>516</v>
      </c>
      <c r="F294">
        <v>42</v>
      </c>
      <c r="G294">
        <v>1968</v>
      </c>
      <c r="H294">
        <v>273</v>
      </c>
      <c r="I294">
        <v>10.939</v>
      </c>
      <c r="J294">
        <v>578.72900000000004</v>
      </c>
      <c r="K294">
        <v>136</v>
      </c>
    </row>
    <row r="295" spans="1:11">
      <c r="A295">
        <v>10038</v>
      </c>
      <c r="B295" t="s">
        <v>893</v>
      </c>
      <c r="C295" t="s">
        <v>577</v>
      </c>
      <c r="E295" t="s">
        <v>747</v>
      </c>
      <c r="F295">
        <v>68</v>
      </c>
      <c r="G295">
        <v>1976</v>
      </c>
      <c r="H295">
        <v>657</v>
      </c>
      <c r="I295">
        <v>0</v>
      </c>
      <c r="J295">
        <v>0</v>
      </c>
      <c r="K295">
        <v>0</v>
      </c>
    </row>
    <row r="296" spans="1:11">
      <c r="A296">
        <v>20578</v>
      </c>
      <c r="B296" t="s">
        <v>894</v>
      </c>
      <c r="C296" t="s">
        <v>608</v>
      </c>
      <c r="E296" t="s">
        <v>510</v>
      </c>
      <c r="F296">
        <v>88</v>
      </c>
      <c r="G296">
        <v>1968</v>
      </c>
      <c r="H296">
        <v>223</v>
      </c>
      <c r="I296">
        <v>18.376999999999999</v>
      </c>
      <c r="J296">
        <v>784.43799999999999</v>
      </c>
      <c r="K296">
        <v>148</v>
      </c>
    </row>
    <row r="297" spans="1:11">
      <c r="A297">
        <v>17033</v>
      </c>
      <c r="B297" t="s">
        <v>895</v>
      </c>
      <c r="C297" t="s">
        <v>896</v>
      </c>
      <c r="D297" t="s">
        <v>91</v>
      </c>
      <c r="E297" t="s">
        <v>513</v>
      </c>
      <c r="F297">
        <v>1</v>
      </c>
      <c r="G297">
        <v>2009</v>
      </c>
      <c r="H297">
        <v>324</v>
      </c>
      <c r="I297">
        <v>10.625</v>
      </c>
      <c r="J297">
        <v>368.36599999999999</v>
      </c>
      <c r="K297">
        <v>25</v>
      </c>
    </row>
    <row r="298" spans="1:11">
      <c r="A298">
        <v>17034</v>
      </c>
      <c r="B298" t="s">
        <v>897</v>
      </c>
      <c r="C298" t="s">
        <v>697</v>
      </c>
      <c r="D298" t="s">
        <v>107</v>
      </c>
      <c r="E298" t="s">
        <v>513</v>
      </c>
      <c r="F298">
        <v>1</v>
      </c>
      <c r="G298">
        <v>1981</v>
      </c>
      <c r="H298">
        <v>210</v>
      </c>
      <c r="I298">
        <v>11.250999999999999</v>
      </c>
      <c r="J298">
        <v>848.38699999999994</v>
      </c>
      <c r="K298">
        <v>396</v>
      </c>
    </row>
    <row r="299" spans="1:11">
      <c r="A299">
        <v>23029</v>
      </c>
      <c r="B299" t="s">
        <v>898</v>
      </c>
      <c r="C299" t="s">
        <v>545</v>
      </c>
      <c r="E299" t="s">
        <v>170</v>
      </c>
      <c r="F299">
        <v>14</v>
      </c>
      <c r="G299">
        <v>1967</v>
      </c>
      <c r="H299">
        <v>247</v>
      </c>
      <c r="I299">
        <v>14.468999999999999</v>
      </c>
      <c r="J299">
        <v>660.81399999999996</v>
      </c>
      <c r="K299">
        <v>100</v>
      </c>
    </row>
    <row r="300" spans="1:11">
      <c r="A300">
        <v>21759</v>
      </c>
      <c r="B300" t="s">
        <v>899</v>
      </c>
      <c r="C300" t="s">
        <v>626</v>
      </c>
      <c r="E300" t="s">
        <v>567</v>
      </c>
      <c r="F300">
        <v>29</v>
      </c>
      <c r="G300">
        <v>1963</v>
      </c>
      <c r="H300">
        <v>300</v>
      </c>
      <c r="I300">
        <v>8.9369999999999994</v>
      </c>
      <c r="J300">
        <v>452.42700000000002</v>
      </c>
      <c r="K300">
        <v>125</v>
      </c>
    </row>
    <row r="301" spans="1:11">
      <c r="A301">
        <v>22143</v>
      </c>
      <c r="B301" t="s">
        <v>1573</v>
      </c>
      <c r="C301" t="s">
        <v>680</v>
      </c>
      <c r="D301" t="s">
        <v>107</v>
      </c>
      <c r="E301" t="s">
        <v>1554</v>
      </c>
      <c r="F301">
        <v>97</v>
      </c>
      <c r="G301">
        <v>1973</v>
      </c>
      <c r="H301">
        <v>658</v>
      </c>
      <c r="I301">
        <v>0</v>
      </c>
      <c r="J301">
        <v>0</v>
      </c>
      <c r="K301">
        <v>0</v>
      </c>
    </row>
    <row r="302" spans="1:11">
      <c r="A302">
        <v>22145</v>
      </c>
      <c r="B302" t="s">
        <v>1574</v>
      </c>
      <c r="C302" t="s">
        <v>589</v>
      </c>
      <c r="E302" t="s">
        <v>1554</v>
      </c>
      <c r="F302">
        <v>97</v>
      </c>
      <c r="G302">
        <v>1991</v>
      </c>
      <c r="H302">
        <v>660</v>
      </c>
      <c r="I302">
        <v>0</v>
      </c>
      <c r="J302">
        <v>0</v>
      </c>
      <c r="K302">
        <v>0</v>
      </c>
    </row>
    <row r="303" spans="1:11">
      <c r="A303">
        <v>22144</v>
      </c>
      <c r="B303" t="s">
        <v>1574</v>
      </c>
      <c r="C303" t="s">
        <v>726</v>
      </c>
      <c r="E303" t="s">
        <v>1554</v>
      </c>
      <c r="F303">
        <v>97</v>
      </c>
      <c r="G303">
        <v>1973</v>
      </c>
      <c r="H303">
        <v>659</v>
      </c>
      <c r="I303">
        <v>0</v>
      </c>
      <c r="J303">
        <v>0</v>
      </c>
      <c r="K303">
        <v>0</v>
      </c>
    </row>
    <row r="304" spans="1:11">
      <c r="A304">
        <v>98312</v>
      </c>
      <c r="B304" t="s">
        <v>900</v>
      </c>
      <c r="C304" t="s">
        <v>901</v>
      </c>
      <c r="D304" t="s">
        <v>107</v>
      </c>
      <c r="E304" t="s">
        <v>650</v>
      </c>
      <c r="F304">
        <v>15</v>
      </c>
      <c r="G304">
        <v>1967</v>
      </c>
      <c r="H304">
        <v>407</v>
      </c>
      <c r="I304">
        <v>5.5629999999999997</v>
      </c>
      <c r="J304">
        <v>203.88</v>
      </c>
      <c r="K304">
        <v>0</v>
      </c>
    </row>
    <row r="305" spans="1:11">
      <c r="A305">
        <v>98488</v>
      </c>
      <c r="B305" t="s">
        <v>902</v>
      </c>
      <c r="C305" t="s">
        <v>903</v>
      </c>
      <c r="E305" t="s">
        <v>650</v>
      </c>
      <c r="F305">
        <v>15</v>
      </c>
      <c r="G305">
        <v>1988</v>
      </c>
      <c r="H305">
        <v>661</v>
      </c>
      <c r="I305">
        <v>0</v>
      </c>
      <c r="J305">
        <v>0</v>
      </c>
      <c r="K305">
        <v>0</v>
      </c>
    </row>
    <row r="306" spans="1:11">
      <c r="A306">
        <v>98311</v>
      </c>
      <c r="B306" t="s">
        <v>902</v>
      </c>
      <c r="C306" t="s">
        <v>583</v>
      </c>
      <c r="E306" t="s">
        <v>650</v>
      </c>
      <c r="F306">
        <v>15</v>
      </c>
      <c r="G306">
        <v>1965</v>
      </c>
      <c r="H306">
        <v>460</v>
      </c>
      <c r="I306">
        <v>4</v>
      </c>
      <c r="J306">
        <v>138.08500000000001</v>
      </c>
      <c r="K306">
        <v>0</v>
      </c>
    </row>
    <row r="307" spans="1:11">
      <c r="A307">
        <v>12003</v>
      </c>
      <c r="B307" t="s">
        <v>1575</v>
      </c>
      <c r="C307" t="s">
        <v>947</v>
      </c>
      <c r="E307" t="s">
        <v>621</v>
      </c>
      <c r="F307">
        <v>28</v>
      </c>
      <c r="G307">
        <v>1948</v>
      </c>
      <c r="H307">
        <v>504</v>
      </c>
      <c r="I307">
        <v>2.4380000000000002</v>
      </c>
      <c r="J307">
        <v>87.787999999999997</v>
      </c>
      <c r="K307">
        <v>0</v>
      </c>
    </row>
    <row r="308" spans="1:11">
      <c r="A308">
        <v>21032</v>
      </c>
      <c r="B308" t="s">
        <v>1576</v>
      </c>
      <c r="C308" t="s">
        <v>1328</v>
      </c>
      <c r="D308" t="s">
        <v>107</v>
      </c>
      <c r="E308" t="s">
        <v>666</v>
      </c>
      <c r="F308">
        <v>87</v>
      </c>
      <c r="G308">
        <v>1948</v>
      </c>
      <c r="H308">
        <v>183</v>
      </c>
      <c r="I308">
        <v>12.468999999999999</v>
      </c>
      <c r="J308">
        <v>1035.154</v>
      </c>
      <c r="K308">
        <v>532</v>
      </c>
    </row>
    <row r="309" spans="1:11">
      <c r="A309">
        <v>27025</v>
      </c>
      <c r="B309" t="s">
        <v>904</v>
      </c>
      <c r="C309" t="s">
        <v>670</v>
      </c>
      <c r="E309" t="s">
        <v>528</v>
      </c>
      <c r="F309">
        <v>44</v>
      </c>
      <c r="G309">
        <v>1985</v>
      </c>
      <c r="H309">
        <v>662</v>
      </c>
      <c r="I309">
        <v>0</v>
      </c>
      <c r="J309">
        <v>0</v>
      </c>
      <c r="K309">
        <v>0</v>
      </c>
    </row>
    <row r="310" spans="1:11">
      <c r="A310">
        <v>26075</v>
      </c>
      <c r="B310" t="s">
        <v>905</v>
      </c>
      <c r="C310" t="s">
        <v>670</v>
      </c>
      <c r="E310" t="s">
        <v>507</v>
      </c>
      <c r="F310">
        <v>20</v>
      </c>
      <c r="G310">
        <v>1985</v>
      </c>
      <c r="H310">
        <v>34</v>
      </c>
      <c r="I310">
        <v>34.375</v>
      </c>
      <c r="J310">
        <v>2650.9949999999999</v>
      </c>
      <c r="K310">
        <v>1141</v>
      </c>
    </row>
    <row r="311" spans="1:11">
      <c r="A311">
        <v>16106</v>
      </c>
      <c r="B311" t="s">
        <v>905</v>
      </c>
      <c r="C311" t="s">
        <v>906</v>
      </c>
      <c r="E311" t="s">
        <v>170</v>
      </c>
      <c r="F311">
        <v>14</v>
      </c>
      <c r="G311">
        <v>2004</v>
      </c>
      <c r="H311">
        <v>80</v>
      </c>
      <c r="I311">
        <v>31.25</v>
      </c>
      <c r="J311">
        <v>1977.489</v>
      </c>
      <c r="K311">
        <v>806</v>
      </c>
    </row>
    <row r="312" spans="1:11">
      <c r="A312">
        <v>22111</v>
      </c>
      <c r="B312" t="s">
        <v>1577</v>
      </c>
      <c r="C312" t="s">
        <v>576</v>
      </c>
      <c r="E312" t="s">
        <v>708</v>
      </c>
      <c r="F312">
        <v>66</v>
      </c>
      <c r="G312">
        <v>1988</v>
      </c>
      <c r="H312">
        <v>152</v>
      </c>
      <c r="I312">
        <v>22.469000000000001</v>
      </c>
      <c r="J312">
        <v>1252.249</v>
      </c>
      <c r="K312">
        <v>447</v>
      </c>
    </row>
    <row r="313" spans="1:11">
      <c r="A313">
        <v>22991</v>
      </c>
      <c r="B313" t="s">
        <v>1578</v>
      </c>
      <c r="C313" t="s">
        <v>554</v>
      </c>
      <c r="E313" t="s">
        <v>778</v>
      </c>
      <c r="F313">
        <v>85</v>
      </c>
      <c r="G313">
        <v>1991</v>
      </c>
      <c r="H313">
        <v>148</v>
      </c>
      <c r="I313">
        <v>12</v>
      </c>
      <c r="J313">
        <v>1279.2660000000001</v>
      </c>
      <c r="K313">
        <v>676</v>
      </c>
    </row>
    <row r="314" spans="1:11">
      <c r="A314">
        <v>21912</v>
      </c>
      <c r="B314" t="s">
        <v>1579</v>
      </c>
      <c r="C314" t="s">
        <v>554</v>
      </c>
      <c r="E314" t="s">
        <v>778</v>
      </c>
      <c r="F314">
        <v>85</v>
      </c>
      <c r="G314">
        <v>1956</v>
      </c>
      <c r="H314">
        <v>13</v>
      </c>
      <c r="I314">
        <v>41</v>
      </c>
      <c r="J314">
        <v>3381.4349999999999</v>
      </c>
      <c r="K314">
        <v>1703</v>
      </c>
    </row>
    <row r="315" spans="1:11">
      <c r="A315">
        <v>21913</v>
      </c>
      <c r="B315" t="s">
        <v>908</v>
      </c>
      <c r="C315" t="s">
        <v>596</v>
      </c>
      <c r="D315" t="s">
        <v>107</v>
      </c>
      <c r="E315" t="s">
        <v>778</v>
      </c>
      <c r="F315">
        <v>85</v>
      </c>
      <c r="G315">
        <v>1957</v>
      </c>
      <c r="H315">
        <v>47</v>
      </c>
      <c r="I315">
        <v>28.375</v>
      </c>
      <c r="J315">
        <v>2389.5140000000001</v>
      </c>
      <c r="K315">
        <v>1195</v>
      </c>
    </row>
    <row r="316" spans="1:11">
      <c r="A316">
        <v>18133</v>
      </c>
      <c r="B316" t="s">
        <v>908</v>
      </c>
      <c r="C316" t="s">
        <v>562</v>
      </c>
      <c r="D316" t="s">
        <v>107</v>
      </c>
      <c r="E316" t="s">
        <v>778</v>
      </c>
      <c r="F316">
        <v>85</v>
      </c>
      <c r="G316">
        <v>1992</v>
      </c>
      <c r="H316">
        <v>663</v>
      </c>
      <c r="I316">
        <v>0</v>
      </c>
      <c r="J316">
        <v>0</v>
      </c>
      <c r="K316">
        <v>0</v>
      </c>
    </row>
    <row r="317" spans="1:11">
      <c r="A317">
        <v>16062</v>
      </c>
      <c r="B317" t="s">
        <v>909</v>
      </c>
      <c r="C317" t="s">
        <v>707</v>
      </c>
      <c r="E317" t="s">
        <v>841</v>
      </c>
      <c r="F317">
        <v>83</v>
      </c>
      <c r="G317">
        <v>1967</v>
      </c>
      <c r="H317">
        <v>664</v>
      </c>
      <c r="I317">
        <v>0</v>
      </c>
      <c r="J317">
        <v>0</v>
      </c>
      <c r="K317">
        <v>0</v>
      </c>
    </row>
    <row r="318" spans="1:11">
      <c r="A318">
        <v>22121</v>
      </c>
      <c r="B318" t="s">
        <v>1580</v>
      </c>
      <c r="C318" t="s">
        <v>561</v>
      </c>
      <c r="D318" t="s">
        <v>107</v>
      </c>
      <c r="E318" t="s">
        <v>510</v>
      </c>
      <c r="F318">
        <v>88</v>
      </c>
      <c r="G318">
        <v>1958</v>
      </c>
      <c r="H318">
        <v>573</v>
      </c>
      <c r="I318">
        <v>0.68799999999999994</v>
      </c>
      <c r="J318">
        <v>20.254000000000001</v>
      </c>
      <c r="K318">
        <v>0</v>
      </c>
    </row>
    <row r="319" spans="1:11">
      <c r="A319">
        <v>13077</v>
      </c>
      <c r="B319" t="s">
        <v>910</v>
      </c>
      <c r="C319" t="s">
        <v>583</v>
      </c>
      <c r="E319" t="s">
        <v>566</v>
      </c>
      <c r="F319">
        <v>51</v>
      </c>
      <c r="G319">
        <v>1951</v>
      </c>
      <c r="H319">
        <v>289</v>
      </c>
      <c r="I319">
        <v>12.127000000000001</v>
      </c>
      <c r="J319">
        <v>503.25099999999998</v>
      </c>
      <c r="K319">
        <v>73</v>
      </c>
    </row>
    <row r="320" spans="1:11">
      <c r="A320">
        <v>21798</v>
      </c>
      <c r="B320" t="s">
        <v>911</v>
      </c>
      <c r="C320" t="s">
        <v>552</v>
      </c>
      <c r="E320" t="s">
        <v>161</v>
      </c>
      <c r="F320">
        <v>30</v>
      </c>
      <c r="G320">
        <v>1979</v>
      </c>
      <c r="H320">
        <v>474</v>
      </c>
      <c r="I320">
        <v>3.375</v>
      </c>
      <c r="J320">
        <v>118.5</v>
      </c>
      <c r="K320">
        <v>0</v>
      </c>
    </row>
    <row r="321" spans="1:11">
      <c r="A321">
        <v>13078</v>
      </c>
      <c r="B321" t="s">
        <v>912</v>
      </c>
      <c r="C321" t="s">
        <v>680</v>
      </c>
      <c r="D321" t="s">
        <v>107</v>
      </c>
      <c r="E321" t="s">
        <v>566</v>
      </c>
      <c r="F321">
        <v>51</v>
      </c>
      <c r="G321">
        <v>1949</v>
      </c>
      <c r="H321">
        <v>290</v>
      </c>
      <c r="I321">
        <v>12.127000000000001</v>
      </c>
      <c r="J321">
        <v>503.25099999999998</v>
      </c>
      <c r="K321">
        <v>73</v>
      </c>
    </row>
    <row r="322" spans="1:11">
      <c r="A322">
        <v>18056</v>
      </c>
      <c r="B322" t="s">
        <v>913</v>
      </c>
      <c r="C322" t="s">
        <v>881</v>
      </c>
      <c r="D322" t="s">
        <v>107</v>
      </c>
      <c r="E322" t="s">
        <v>553</v>
      </c>
      <c r="F322">
        <v>79</v>
      </c>
      <c r="G322">
        <v>1988</v>
      </c>
      <c r="H322">
        <v>665</v>
      </c>
      <c r="I322">
        <v>0</v>
      </c>
      <c r="J322">
        <v>0</v>
      </c>
      <c r="K322">
        <v>0</v>
      </c>
    </row>
    <row r="323" spans="1:11">
      <c r="A323">
        <v>18071</v>
      </c>
      <c r="B323" t="s">
        <v>914</v>
      </c>
      <c r="C323" t="s">
        <v>559</v>
      </c>
      <c r="E323" t="s">
        <v>510</v>
      </c>
      <c r="F323">
        <v>88</v>
      </c>
      <c r="G323">
        <v>1956</v>
      </c>
      <c r="H323">
        <v>217</v>
      </c>
      <c r="I323">
        <v>13.173</v>
      </c>
      <c r="J323">
        <v>802.06</v>
      </c>
      <c r="K323">
        <v>267</v>
      </c>
    </row>
    <row r="324" spans="1:11">
      <c r="A324">
        <v>18070</v>
      </c>
      <c r="B324" t="s">
        <v>915</v>
      </c>
      <c r="C324" t="s">
        <v>1581</v>
      </c>
      <c r="D324" t="s">
        <v>107</v>
      </c>
      <c r="E324" t="s">
        <v>510</v>
      </c>
      <c r="F324">
        <v>88</v>
      </c>
      <c r="G324">
        <v>1957</v>
      </c>
      <c r="H324">
        <v>225</v>
      </c>
      <c r="I324">
        <v>16.814</v>
      </c>
      <c r="J324">
        <v>773.86500000000001</v>
      </c>
      <c r="K324">
        <v>150</v>
      </c>
    </row>
    <row r="325" spans="1:11">
      <c r="A325">
        <v>24529</v>
      </c>
      <c r="B325" t="s">
        <v>1582</v>
      </c>
      <c r="C325" t="s">
        <v>582</v>
      </c>
      <c r="E325" t="s">
        <v>1583</v>
      </c>
      <c r="F325">
        <v>101</v>
      </c>
      <c r="G325">
        <v>1960</v>
      </c>
      <c r="H325">
        <v>450</v>
      </c>
      <c r="I325">
        <v>4.3760000000000003</v>
      </c>
      <c r="J325">
        <v>145.75399999999999</v>
      </c>
      <c r="K325">
        <v>0</v>
      </c>
    </row>
    <row r="326" spans="1:11">
      <c r="A326">
        <v>22150</v>
      </c>
      <c r="B326" t="s">
        <v>1584</v>
      </c>
      <c r="C326" t="s">
        <v>582</v>
      </c>
      <c r="E326" t="s">
        <v>1418</v>
      </c>
      <c r="F326">
        <v>98</v>
      </c>
      <c r="G326">
        <v>1979</v>
      </c>
      <c r="H326">
        <v>385</v>
      </c>
      <c r="I326">
        <v>7.6260000000000003</v>
      </c>
      <c r="J326">
        <v>242.23400000000001</v>
      </c>
      <c r="K326">
        <v>0</v>
      </c>
    </row>
    <row r="327" spans="1:11">
      <c r="A327">
        <v>22151</v>
      </c>
      <c r="B327" t="s">
        <v>1585</v>
      </c>
      <c r="C327" t="s">
        <v>624</v>
      </c>
      <c r="D327" t="s">
        <v>107</v>
      </c>
      <c r="E327" t="s">
        <v>1418</v>
      </c>
      <c r="F327">
        <v>98</v>
      </c>
      <c r="G327">
        <v>1976</v>
      </c>
      <c r="H327">
        <v>553</v>
      </c>
      <c r="I327">
        <v>1.0940000000000001</v>
      </c>
      <c r="J327">
        <v>35.503</v>
      </c>
      <c r="K327">
        <v>0</v>
      </c>
    </row>
    <row r="328" spans="1:11">
      <c r="A328">
        <v>22155</v>
      </c>
      <c r="B328" t="s">
        <v>1586</v>
      </c>
      <c r="C328" t="s">
        <v>582</v>
      </c>
      <c r="E328" t="s">
        <v>666</v>
      </c>
      <c r="F328">
        <v>87</v>
      </c>
      <c r="G328">
        <v>1961</v>
      </c>
      <c r="H328">
        <v>666</v>
      </c>
      <c r="I328">
        <v>0</v>
      </c>
      <c r="J328">
        <v>0</v>
      </c>
      <c r="K328">
        <v>0</v>
      </c>
    </row>
    <row r="329" spans="1:11">
      <c r="A329">
        <v>21076</v>
      </c>
      <c r="B329" t="s">
        <v>1587</v>
      </c>
      <c r="C329" t="s">
        <v>632</v>
      </c>
      <c r="D329" t="s">
        <v>107</v>
      </c>
      <c r="E329" t="s">
        <v>546</v>
      </c>
      <c r="F329">
        <v>86</v>
      </c>
      <c r="G329">
        <v>1997</v>
      </c>
      <c r="H329">
        <v>586</v>
      </c>
      <c r="I329">
        <v>0.56299999999999994</v>
      </c>
      <c r="J329">
        <v>17.719000000000001</v>
      </c>
      <c r="K329">
        <v>0</v>
      </c>
    </row>
    <row r="330" spans="1:11">
      <c r="A330">
        <v>18075</v>
      </c>
      <c r="B330" t="s">
        <v>916</v>
      </c>
      <c r="C330" t="s">
        <v>562</v>
      </c>
      <c r="D330" t="s">
        <v>107</v>
      </c>
      <c r="E330" t="s">
        <v>505</v>
      </c>
      <c r="F330">
        <v>89</v>
      </c>
      <c r="G330">
        <v>1997</v>
      </c>
      <c r="H330">
        <v>346</v>
      </c>
      <c r="I330">
        <v>6.125</v>
      </c>
      <c r="J330">
        <v>321.00099999999998</v>
      </c>
      <c r="K330">
        <v>109</v>
      </c>
    </row>
    <row r="331" spans="1:11">
      <c r="A331">
        <v>10082</v>
      </c>
      <c r="B331" t="s">
        <v>917</v>
      </c>
      <c r="C331" t="s">
        <v>639</v>
      </c>
      <c r="E331" t="s">
        <v>584</v>
      </c>
      <c r="F331">
        <v>69</v>
      </c>
      <c r="G331">
        <v>1961</v>
      </c>
      <c r="H331">
        <v>592</v>
      </c>
      <c r="I331">
        <v>1.625</v>
      </c>
      <c r="J331">
        <v>11.234</v>
      </c>
      <c r="K331">
        <v>0</v>
      </c>
    </row>
    <row r="332" spans="1:11">
      <c r="A332">
        <v>21066</v>
      </c>
      <c r="B332" t="s">
        <v>1588</v>
      </c>
      <c r="C332" t="s">
        <v>997</v>
      </c>
      <c r="D332" t="s">
        <v>657</v>
      </c>
      <c r="E332" t="s">
        <v>505</v>
      </c>
      <c r="F332">
        <v>89</v>
      </c>
      <c r="G332">
        <v>2018</v>
      </c>
      <c r="H332">
        <v>667</v>
      </c>
      <c r="I332">
        <v>0</v>
      </c>
      <c r="J332">
        <v>0</v>
      </c>
      <c r="K332">
        <v>0</v>
      </c>
    </row>
    <row r="333" spans="1:11">
      <c r="A333">
        <v>23250</v>
      </c>
      <c r="B333" t="s">
        <v>1588</v>
      </c>
      <c r="C333" t="s">
        <v>1028</v>
      </c>
      <c r="D333" t="s">
        <v>107</v>
      </c>
      <c r="E333" t="s">
        <v>513</v>
      </c>
      <c r="F333">
        <v>1</v>
      </c>
      <c r="G333">
        <v>1952</v>
      </c>
      <c r="H333">
        <v>532</v>
      </c>
      <c r="I333">
        <v>1.8440000000000001</v>
      </c>
      <c r="J333">
        <v>59.762</v>
      </c>
      <c r="K333">
        <v>0</v>
      </c>
    </row>
    <row r="334" spans="1:11">
      <c r="A334">
        <v>12038</v>
      </c>
      <c r="B334" t="s">
        <v>918</v>
      </c>
      <c r="C334" t="s">
        <v>919</v>
      </c>
      <c r="E334" t="s">
        <v>599</v>
      </c>
      <c r="F334">
        <v>73</v>
      </c>
      <c r="G334">
        <v>1955</v>
      </c>
      <c r="H334">
        <v>37</v>
      </c>
      <c r="I334">
        <v>26.187999999999999</v>
      </c>
      <c r="J334">
        <v>2536.5619999999999</v>
      </c>
      <c r="K334">
        <v>1389</v>
      </c>
    </row>
    <row r="335" spans="1:11">
      <c r="A335">
        <v>12037</v>
      </c>
      <c r="B335" t="s">
        <v>920</v>
      </c>
      <c r="C335" t="s">
        <v>796</v>
      </c>
      <c r="D335" t="s">
        <v>107</v>
      </c>
      <c r="E335" t="s">
        <v>599</v>
      </c>
      <c r="F335">
        <v>73</v>
      </c>
      <c r="G335">
        <v>1951</v>
      </c>
      <c r="H335">
        <v>35</v>
      </c>
      <c r="I335">
        <v>30.062999999999999</v>
      </c>
      <c r="J335">
        <v>2596.1750000000002</v>
      </c>
      <c r="K335">
        <v>1307</v>
      </c>
    </row>
    <row r="336" spans="1:11">
      <c r="A336">
        <v>22117</v>
      </c>
      <c r="B336" t="s">
        <v>921</v>
      </c>
      <c r="C336" t="s">
        <v>554</v>
      </c>
      <c r="E336" t="s">
        <v>841</v>
      </c>
      <c r="F336">
        <v>83</v>
      </c>
      <c r="G336">
        <v>1974</v>
      </c>
      <c r="H336">
        <v>668</v>
      </c>
      <c r="I336">
        <v>0</v>
      </c>
      <c r="J336">
        <v>0</v>
      </c>
      <c r="K336">
        <v>0</v>
      </c>
    </row>
    <row r="337" spans="1:11">
      <c r="A337">
        <v>16060</v>
      </c>
      <c r="B337" t="s">
        <v>921</v>
      </c>
      <c r="C337" t="s">
        <v>568</v>
      </c>
      <c r="E337" t="s">
        <v>841</v>
      </c>
      <c r="F337">
        <v>83</v>
      </c>
      <c r="G337">
        <v>1972</v>
      </c>
      <c r="H337">
        <v>260</v>
      </c>
      <c r="I337">
        <v>12.563000000000001</v>
      </c>
      <c r="J337">
        <v>608.33799999999997</v>
      </c>
      <c r="K337">
        <v>130</v>
      </c>
    </row>
    <row r="338" spans="1:11">
      <c r="A338">
        <v>24506</v>
      </c>
      <c r="B338" t="s">
        <v>1589</v>
      </c>
      <c r="C338" t="s">
        <v>824</v>
      </c>
      <c r="D338" t="s">
        <v>107</v>
      </c>
      <c r="E338" t="s">
        <v>841</v>
      </c>
      <c r="F338">
        <v>83</v>
      </c>
      <c r="G338">
        <v>1985</v>
      </c>
      <c r="H338">
        <v>669</v>
      </c>
      <c r="I338">
        <v>0</v>
      </c>
      <c r="J338">
        <v>0</v>
      </c>
      <c r="K338">
        <v>0</v>
      </c>
    </row>
    <row r="339" spans="1:11">
      <c r="A339">
        <v>23215</v>
      </c>
      <c r="B339" t="s">
        <v>1590</v>
      </c>
      <c r="C339" t="s">
        <v>759</v>
      </c>
      <c r="D339" t="s">
        <v>107</v>
      </c>
      <c r="E339" t="s">
        <v>599</v>
      </c>
      <c r="F339">
        <v>73</v>
      </c>
      <c r="G339">
        <v>1956</v>
      </c>
      <c r="H339">
        <v>358</v>
      </c>
      <c r="I339">
        <v>6.69</v>
      </c>
      <c r="J339">
        <v>288.42200000000003</v>
      </c>
      <c r="K339">
        <v>24</v>
      </c>
    </row>
    <row r="340" spans="1:11">
      <c r="A340">
        <v>29039</v>
      </c>
      <c r="B340" t="s">
        <v>922</v>
      </c>
      <c r="C340" t="s">
        <v>633</v>
      </c>
      <c r="D340" t="s">
        <v>107</v>
      </c>
      <c r="E340" t="s">
        <v>170</v>
      </c>
      <c r="F340">
        <v>14</v>
      </c>
      <c r="G340">
        <v>1956</v>
      </c>
      <c r="H340">
        <v>66</v>
      </c>
      <c r="I340">
        <v>30.501000000000001</v>
      </c>
      <c r="J340">
        <v>2110.7179999999998</v>
      </c>
      <c r="K340">
        <v>777</v>
      </c>
    </row>
    <row r="341" spans="1:11">
      <c r="A341">
        <v>16105</v>
      </c>
      <c r="B341" t="s">
        <v>923</v>
      </c>
      <c r="C341" t="s">
        <v>726</v>
      </c>
      <c r="E341" t="s">
        <v>170</v>
      </c>
      <c r="F341">
        <v>14</v>
      </c>
      <c r="G341">
        <v>1959</v>
      </c>
      <c r="H341">
        <v>71</v>
      </c>
      <c r="I341">
        <v>30.062999999999999</v>
      </c>
      <c r="J341">
        <v>2052.8510000000001</v>
      </c>
      <c r="K341">
        <v>826</v>
      </c>
    </row>
    <row r="342" spans="1:11">
      <c r="A342">
        <v>29040</v>
      </c>
      <c r="B342" t="s">
        <v>923</v>
      </c>
      <c r="C342" t="s">
        <v>568</v>
      </c>
      <c r="E342" t="s">
        <v>170</v>
      </c>
      <c r="F342">
        <v>14</v>
      </c>
      <c r="G342">
        <v>1961</v>
      </c>
      <c r="H342">
        <v>32</v>
      </c>
      <c r="I342">
        <v>39.5</v>
      </c>
      <c r="J342">
        <v>2740.8119999999999</v>
      </c>
      <c r="K342">
        <v>1162</v>
      </c>
    </row>
    <row r="343" spans="1:11">
      <c r="A343">
        <v>11045</v>
      </c>
      <c r="B343" t="s">
        <v>924</v>
      </c>
      <c r="C343" t="s">
        <v>554</v>
      </c>
      <c r="E343" t="s">
        <v>592</v>
      </c>
      <c r="F343">
        <v>2</v>
      </c>
      <c r="G343">
        <v>1954</v>
      </c>
      <c r="H343">
        <v>229</v>
      </c>
      <c r="I343">
        <v>11.782999999999999</v>
      </c>
      <c r="J343">
        <v>759.83600000000001</v>
      </c>
      <c r="K343">
        <v>258</v>
      </c>
    </row>
    <row r="344" spans="1:11">
      <c r="A344">
        <v>23256</v>
      </c>
      <c r="B344" t="s">
        <v>925</v>
      </c>
      <c r="C344" t="s">
        <v>726</v>
      </c>
      <c r="E344" t="s">
        <v>597</v>
      </c>
      <c r="F344">
        <v>95</v>
      </c>
      <c r="G344">
        <v>1989</v>
      </c>
      <c r="H344">
        <v>215</v>
      </c>
      <c r="I344">
        <v>20.314</v>
      </c>
      <c r="J344">
        <v>823.26400000000001</v>
      </c>
      <c r="K344">
        <v>115</v>
      </c>
    </row>
    <row r="345" spans="1:11">
      <c r="A345">
        <v>21776</v>
      </c>
      <c r="B345" t="s">
        <v>925</v>
      </c>
      <c r="C345" t="s">
        <v>736</v>
      </c>
      <c r="E345" t="s">
        <v>198</v>
      </c>
      <c r="F345">
        <v>17</v>
      </c>
      <c r="G345">
        <v>1971</v>
      </c>
      <c r="H345">
        <v>551</v>
      </c>
      <c r="I345">
        <v>1.2809999999999999</v>
      </c>
      <c r="J345">
        <v>36.779000000000003</v>
      </c>
      <c r="K345">
        <v>0</v>
      </c>
    </row>
    <row r="346" spans="1:11">
      <c r="A346">
        <v>15013</v>
      </c>
      <c r="B346" t="s">
        <v>926</v>
      </c>
      <c r="C346" t="s">
        <v>927</v>
      </c>
      <c r="D346" t="s">
        <v>107</v>
      </c>
      <c r="E346" t="s">
        <v>198</v>
      </c>
      <c r="F346">
        <v>17</v>
      </c>
      <c r="G346">
        <v>1972</v>
      </c>
      <c r="H346">
        <v>670</v>
      </c>
      <c r="I346">
        <v>0</v>
      </c>
      <c r="J346">
        <v>0</v>
      </c>
      <c r="K346">
        <v>0</v>
      </c>
    </row>
    <row r="347" spans="1:11">
      <c r="A347">
        <v>24534</v>
      </c>
      <c r="B347" t="s">
        <v>926</v>
      </c>
      <c r="C347" t="s">
        <v>1591</v>
      </c>
      <c r="D347" t="s">
        <v>657</v>
      </c>
      <c r="E347" t="s">
        <v>597</v>
      </c>
      <c r="F347">
        <v>95</v>
      </c>
      <c r="G347">
        <v>2013</v>
      </c>
      <c r="H347">
        <v>477</v>
      </c>
      <c r="I347">
        <v>3</v>
      </c>
      <c r="J347">
        <v>115.113</v>
      </c>
      <c r="K347">
        <v>0</v>
      </c>
    </row>
    <row r="348" spans="1:11">
      <c r="A348">
        <v>15050</v>
      </c>
      <c r="B348" t="s">
        <v>928</v>
      </c>
      <c r="C348" t="s">
        <v>596</v>
      </c>
      <c r="D348" t="s">
        <v>107</v>
      </c>
      <c r="E348" t="s">
        <v>216</v>
      </c>
      <c r="F348">
        <v>33</v>
      </c>
      <c r="G348">
        <v>1949</v>
      </c>
      <c r="H348">
        <v>250</v>
      </c>
      <c r="I348">
        <v>12.47</v>
      </c>
      <c r="J348">
        <v>640.32299999999998</v>
      </c>
      <c r="K348">
        <v>148</v>
      </c>
    </row>
    <row r="349" spans="1:11">
      <c r="A349">
        <v>17006</v>
      </c>
      <c r="B349" t="s">
        <v>929</v>
      </c>
      <c r="C349" t="s">
        <v>602</v>
      </c>
      <c r="D349" t="s">
        <v>91</v>
      </c>
      <c r="E349" t="s">
        <v>778</v>
      </c>
      <c r="F349">
        <v>85</v>
      </c>
      <c r="G349">
        <v>2009</v>
      </c>
      <c r="H349">
        <v>673</v>
      </c>
      <c r="I349">
        <v>0</v>
      </c>
      <c r="J349">
        <v>0</v>
      </c>
      <c r="K349">
        <v>0</v>
      </c>
    </row>
    <row r="350" spans="1:11">
      <c r="A350">
        <v>17005</v>
      </c>
      <c r="B350" t="s">
        <v>929</v>
      </c>
      <c r="C350" t="s">
        <v>554</v>
      </c>
      <c r="D350" t="s">
        <v>91</v>
      </c>
      <c r="E350" t="s">
        <v>778</v>
      </c>
      <c r="F350">
        <v>85</v>
      </c>
      <c r="G350">
        <v>2008</v>
      </c>
      <c r="H350">
        <v>672</v>
      </c>
      <c r="I350">
        <v>0</v>
      </c>
      <c r="J350">
        <v>0</v>
      </c>
      <c r="K350">
        <v>0</v>
      </c>
    </row>
    <row r="351" spans="1:11">
      <c r="A351">
        <v>26043</v>
      </c>
      <c r="B351" t="s">
        <v>929</v>
      </c>
      <c r="C351" t="s">
        <v>583</v>
      </c>
      <c r="E351" t="s">
        <v>768</v>
      </c>
      <c r="F351">
        <v>45</v>
      </c>
      <c r="G351">
        <v>1969</v>
      </c>
      <c r="H351">
        <v>102</v>
      </c>
      <c r="I351">
        <v>27.282</v>
      </c>
      <c r="J351">
        <v>1747.441</v>
      </c>
      <c r="K351">
        <v>759</v>
      </c>
    </row>
    <row r="352" spans="1:11">
      <c r="A352">
        <v>17004</v>
      </c>
      <c r="B352" t="s">
        <v>929</v>
      </c>
      <c r="C352" t="s">
        <v>707</v>
      </c>
      <c r="E352" t="s">
        <v>778</v>
      </c>
      <c r="F352">
        <v>85</v>
      </c>
      <c r="G352">
        <v>2006</v>
      </c>
      <c r="H352">
        <v>671</v>
      </c>
      <c r="I352">
        <v>0</v>
      </c>
      <c r="J352">
        <v>0</v>
      </c>
      <c r="K352">
        <v>0</v>
      </c>
    </row>
    <row r="353" spans="1:11">
      <c r="A353">
        <v>17003</v>
      </c>
      <c r="B353" t="s">
        <v>930</v>
      </c>
      <c r="C353" t="s">
        <v>596</v>
      </c>
      <c r="D353" t="s">
        <v>107</v>
      </c>
      <c r="E353" t="s">
        <v>778</v>
      </c>
      <c r="F353">
        <v>85</v>
      </c>
      <c r="G353">
        <v>1979</v>
      </c>
      <c r="H353">
        <v>674</v>
      </c>
      <c r="I353">
        <v>0</v>
      </c>
      <c r="J353">
        <v>0</v>
      </c>
      <c r="K353">
        <v>0</v>
      </c>
    </row>
    <row r="354" spans="1:11">
      <c r="A354">
        <v>20605</v>
      </c>
      <c r="B354" t="s">
        <v>931</v>
      </c>
      <c r="C354" t="s">
        <v>620</v>
      </c>
      <c r="E354" t="s">
        <v>597</v>
      </c>
      <c r="F354">
        <v>95</v>
      </c>
      <c r="G354">
        <v>1982</v>
      </c>
      <c r="H354">
        <v>522</v>
      </c>
      <c r="I354">
        <v>1.984</v>
      </c>
      <c r="J354">
        <v>65.793000000000006</v>
      </c>
      <c r="K354">
        <v>0</v>
      </c>
    </row>
    <row r="355" spans="1:11">
      <c r="A355">
        <v>26025</v>
      </c>
      <c r="B355" t="s">
        <v>932</v>
      </c>
      <c r="C355" t="s">
        <v>578</v>
      </c>
      <c r="D355" t="s">
        <v>107</v>
      </c>
      <c r="E355" t="s">
        <v>504</v>
      </c>
      <c r="F355">
        <v>63</v>
      </c>
      <c r="G355">
        <v>1971</v>
      </c>
      <c r="H355">
        <v>675</v>
      </c>
      <c r="I355">
        <v>0</v>
      </c>
      <c r="J355">
        <v>0</v>
      </c>
      <c r="K355">
        <v>0</v>
      </c>
    </row>
    <row r="356" spans="1:11">
      <c r="A356">
        <v>24236</v>
      </c>
      <c r="B356" t="s">
        <v>933</v>
      </c>
      <c r="C356" t="s">
        <v>749</v>
      </c>
      <c r="E356" t="s">
        <v>200</v>
      </c>
      <c r="F356">
        <v>19</v>
      </c>
      <c r="G356">
        <v>1959</v>
      </c>
      <c r="H356">
        <v>376</v>
      </c>
      <c r="I356">
        <v>3.5</v>
      </c>
      <c r="J356">
        <v>267.81</v>
      </c>
      <c r="K356">
        <v>136</v>
      </c>
    </row>
    <row r="357" spans="1:11">
      <c r="A357">
        <v>20564</v>
      </c>
      <c r="B357" t="s">
        <v>934</v>
      </c>
      <c r="C357" t="s">
        <v>582</v>
      </c>
      <c r="E357" t="s">
        <v>553</v>
      </c>
      <c r="F357">
        <v>79</v>
      </c>
      <c r="G357">
        <v>1964</v>
      </c>
      <c r="H357">
        <v>328</v>
      </c>
      <c r="I357">
        <v>5.5</v>
      </c>
      <c r="J357">
        <v>359.09500000000003</v>
      </c>
      <c r="K357">
        <v>111</v>
      </c>
    </row>
    <row r="358" spans="1:11">
      <c r="A358">
        <v>17078</v>
      </c>
      <c r="B358" t="s">
        <v>935</v>
      </c>
      <c r="C358" t="s">
        <v>577</v>
      </c>
      <c r="E358" t="s">
        <v>546</v>
      </c>
      <c r="F358">
        <v>86</v>
      </c>
      <c r="G358">
        <v>1991</v>
      </c>
      <c r="H358">
        <v>499</v>
      </c>
      <c r="I358">
        <v>2</v>
      </c>
      <c r="J358">
        <v>92.617999999999995</v>
      </c>
      <c r="K358">
        <v>0</v>
      </c>
    </row>
    <row r="359" spans="1:11">
      <c r="A359">
        <v>23247</v>
      </c>
      <c r="B359" t="s">
        <v>1592</v>
      </c>
      <c r="C359" t="s">
        <v>711</v>
      </c>
      <c r="D359" t="s">
        <v>107</v>
      </c>
      <c r="E359" t="s">
        <v>768</v>
      </c>
      <c r="F359">
        <v>45</v>
      </c>
      <c r="G359">
        <v>1953</v>
      </c>
      <c r="H359">
        <v>248</v>
      </c>
      <c r="I359">
        <v>14.845000000000001</v>
      </c>
      <c r="J359">
        <v>657.36400000000003</v>
      </c>
      <c r="K359">
        <v>172</v>
      </c>
    </row>
    <row r="360" spans="1:11">
      <c r="A360">
        <v>13018</v>
      </c>
      <c r="B360" t="s">
        <v>936</v>
      </c>
      <c r="C360" t="s">
        <v>602</v>
      </c>
      <c r="E360" t="s">
        <v>630</v>
      </c>
      <c r="F360">
        <v>75</v>
      </c>
      <c r="G360">
        <v>1965</v>
      </c>
      <c r="H360">
        <v>676</v>
      </c>
      <c r="I360">
        <v>0</v>
      </c>
      <c r="J360">
        <v>0</v>
      </c>
      <c r="K360">
        <v>0</v>
      </c>
    </row>
    <row r="361" spans="1:11">
      <c r="A361">
        <v>23231</v>
      </c>
      <c r="B361" t="s">
        <v>937</v>
      </c>
      <c r="C361" t="s">
        <v>569</v>
      </c>
      <c r="E361" t="s">
        <v>156</v>
      </c>
      <c r="F361">
        <v>6</v>
      </c>
      <c r="G361">
        <v>1990</v>
      </c>
      <c r="H361">
        <v>589</v>
      </c>
      <c r="I361">
        <v>6.3E-2</v>
      </c>
      <c r="J361">
        <v>17.649999999999999</v>
      </c>
      <c r="K361">
        <v>15</v>
      </c>
    </row>
    <row r="362" spans="1:11">
      <c r="A362">
        <v>11006</v>
      </c>
      <c r="B362" t="s">
        <v>938</v>
      </c>
      <c r="C362" t="s">
        <v>565</v>
      </c>
      <c r="E362" t="s">
        <v>678</v>
      </c>
      <c r="F362">
        <v>54</v>
      </c>
      <c r="G362">
        <v>1957</v>
      </c>
      <c r="H362">
        <v>109</v>
      </c>
      <c r="I362">
        <v>21.375</v>
      </c>
      <c r="J362">
        <v>1616.405</v>
      </c>
      <c r="K362">
        <v>801</v>
      </c>
    </row>
    <row r="363" spans="1:11">
      <c r="A363">
        <v>19039</v>
      </c>
      <c r="B363" t="s">
        <v>939</v>
      </c>
      <c r="C363" t="s">
        <v>583</v>
      </c>
      <c r="E363" t="s">
        <v>751</v>
      </c>
      <c r="F363">
        <v>82</v>
      </c>
      <c r="G363">
        <v>1974</v>
      </c>
      <c r="H363">
        <v>677</v>
      </c>
      <c r="I363">
        <v>0</v>
      </c>
      <c r="J363">
        <v>0</v>
      </c>
      <c r="K363">
        <v>0</v>
      </c>
    </row>
    <row r="364" spans="1:11">
      <c r="A364">
        <v>21072</v>
      </c>
      <c r="B364" t="s">
        <v>1593</v>
      </c>
      <c r="C364" t="s">
        <v>1594</v>
      </c>
      <c r="E364" t="s">
        <v>592</v>
      </c>
      <c r="F364">
        <v>2</v>
      </c>
      <c r="G364">
        <v>1983</v>
      </c>
      <c r="H364">
        <v>154</v>
      </c>
      <c r="I364">
        <v>23.876000000000001</v>
      </c>
      <c r="J364">
        <v>1235.557</v>
      </c>
      <c r="K364">
        <v>283</v>
      </c>
    </row>
    <row r="365" spans="1:11">
      <c r="A365">
        <v>27030</v>
      </c>
      <c r="B365" t="s">
        <v>940</v>
      </c>
      <c r="C365" t="s">
        <v>941</v>
      </c>
      <c r="D365" t="s">
        <v>107</v>
      </c>
      <c r="E365" t="s">
        <v>765</v>
      </c>
      <c r="F365">
        <v>56</v>
      </c>
      <c r="G365">
        <v>1962</v>
      </c>
      <c r="H365">
        <v>21</v>
      </c>
      <c r="I365">
        <v>39.25</v>
      </c>
      <c r="J365">
        <v>3087.0619999999999</v>
      </c>
      <c r="K365">
        <v>1545</v>
      </c>
    </row>
    <row r="366" spans="1:11">
      <c r="A366">
        <v>25061</v>
      </c>
      <c r="B366" t="s">
        <v>942</v>
      </c>
      <c r="C366" t="s">
        <v>569</v>
      </c>
      <c r="E366" t="s">
        <v>765</v>
      </c>
      <c r="F366">
        <v>56</v>
      </c>
      <c r="G366">
        <v>1988</v>
      </c>
      <c r="H366">
        <v>335</v>
      </c>
      <c r="I366">
        <v>10.5</v>
      </c>
      <c r="J366">
        <v>340.85300000000001</v>
      </c>
      <c r="K366">
        <v>0</v>
      </c>
    </row>
    <row r="367" spans="1:11">
      <c r="A367">
        <v>18060</v>
      </c>
      <c r="B367" t="s">
        <v>944</v>
      </c>
      <c r="C367" t="s">
        <v>945</v>
      </c>
      <c r="E367" t="s">
        <v>751</v>
      </c>
      <c r="F367">
        <v>82</v>
      </c>
      <c r="G367">
        <v>1980</v>
      </c>
      <c r="H367">
        <v>351</v>
      </c>
      <c r="I367">
        <v>9.625</v>
      </c>
      <c r="J367">
        <v>314.61399999999998</v>
      </c>
      <c r="K367">
        <v>0</v>
      </c>
    </row>
    <row r="368" spans="1:11">
      <c r="A368">
        <v>24521</v>
      </c>
      <c r="B368" t="s">
        <v>1595</v>
      </c>
      <c r="C368" t="s">
        <v>583</v>
      </c>
      <c r="E368" t="s">
        <v>513</v>
      </c>
      <c r="F368">
        <v>1</v>
      </c>
      <c r="G368">
        <v>1965</v>
      </c>
      <c r="H368">
        <v>679</v>
      </c>
      <c r="I368">
        <v>0</v>
      </c>
      <c r="J368">
        <v>0</v>
      </c>
      <c r="K368">
        <v>0</v>
      </c>
    </row>
    <row r="369" spans="1:11">
      <c r="A369">
        <v>23241</v>
      </c>
      <c r="B369" t="s">
        <v>1595</v>
      </c>
      <c r="C369" t="s">
        <v>582</v>
      </c>
      <c r="E369" t="s">
        <v>513</v>
      </c>
      <c r="F369">
        <v>1</v>
      </c>
      <c r="G369">
        <v>1963</v>
      </c>
      <c r="H369">
        <v>678</v>
      </c>
      <c r="I369">
        <v>0</v>
      </c>
      <c r="J369">
        <v>0</v>
      </c>
      <c r="K369">
        <v>0</v>
      </c>
    </row>
    <row r="370" spans="1:11">
      <c r="A370">
        <v>16151</v>
      </c>
      <c r="B370" t="s">
        <v>946</v>
      </c>
      <c r="C370" t="s">
        <v>602</v>
      </c>
      <c r="E370" t="s">
        <v>546</v>
      </c>
      <c r="F370">
        <v>86</v>
      </c>
      <c r="G370">
        <v>1991</v>
      </c>
      <c r="H370">
        <v>203</v>
      </c>
      <c r="I370">
        <v>13.814</v>
      </c>
      <c r="J370">
        <v>921.97400000000005</v>
      </c>
      <c r="K370">
        <v>351</v>
      </c>
    </row>
    <row r="371" spans="1:11">
      <c r="A371">
        <v>20532</v>
      </c>
      <c r="B371" t="s">
        <v>948</v>
      </c>
      <c r="C371" t="s">
        <v>949</v>
      </c>
      <c r="E371" t="s">
        <v>566</v>
      </c>
      <c r="F371">
        <v>51</v>
      </c>
      <c r="G371">
        <v>1951</v>
      </c>
      <c r="H371">
        <v>120</v>
      </c>
      <c r="I371">
        <v>25.75</v>
      </c>
      <c r="J371">
        <v>1543.5029999999999</v>
      </c>
      <c r="K371">
        <v>602</v>
      </c>
    </row>
    <row r="372" spans="1:11">
      <c r="A372">
        <v>19043</v>
      </c>
      <c r="B372" t="s">
        <v>950</v>
      </c>
      <c r="C372" t="s">
        <v>559</v>
      </c>
      <c r="E372" t="s">
        <v>513</v>
      </c>
      <c r="F372">
        <v>1</v>
      </c>
      <c r="G372">
        <v>2006</v>
      </c>
      <c r="H372">
        <v>680</v>
      </c>
      <c r="I372">
        <v>0</v>
      </c>
      <c r="J372">
        <v>0</v>
      </c>
      <c r="K372">
        <v>0</v>
      </c>
    </row>
    <row r="373" spans="1:11">
      <c r="A373">
        <v>97252</v>
      </c>
      <c r="B373" t="s">
        <v>1596</v>
      </c>
      <c r="C373" t="s">
        <v>569</v>
      </c>
      <c r="E373" t="s">
        <v>161</v>
      </c>
      <c r="F373">
        <v>30</v>
      </c>
      <c r="G373">
        <v>1982</v>
      </c>
      <c r="H373">
        <v>563</v>
      </c>
      <c r="I373">
        <v>0.75</v>
      </c>
      <c r="J373">
        <v>29.247</v>
      </c>
      <c r="K373">
        <v>0</v>
      </c>
    </row>
    <row r="374" spans="1:11">
      <c r="A374">
        <v>99540</v>
      </c>
      <c r="B374" t="s">
        <v>951</v>
      </c>
      <c r="C374" t="s">
        <v>856</v>
      </c>
      <c r="E374" t="s">
        <v>678</v>
      </c>
      <c r="F374">
        <v>54</v>
      </c>
      <c r="G374">
        <v>1974</v>
      </c>
      <c r="H374">
        <v>287</v>
      </c>
      <c r="I374">
        <v>10.407</v>
      </c>
      <c r="J374">
        <v>507.12900000000002</v>
      </c>
      <c r="K374">
        <v>104</v>
      </c>
    </row>
    <row r="375" spans="1:11">
      <c r="A375">
        <v>99539</v>
      </c>
      <c r="B375" t="s">
        <v>1597</v>
      </c>
      <c r="C375" t="s">
        <v>565</v>
      </c>
      <c r="E375" t="s">
        <v>678</v>
      </c>
      <c r="F375">
        <v>54</v>
      </c>
      <c r="G375">
        <v>1974</v>
      </c>
      <c r="H375">
        <v>258</v>
      </c>
      <c r="I375">
        <v>11.25</v>
      </c>
      <c r="J375">
        <v>623.80600000000004</v>
      </c>
      <c r="K375">
        <v>176</v>
      </c>
    </row>
    <row r="376" spans="1:11">
      <c r="A376">
        <v>20730</v>
      </c>
      <c r="B376" t="s">
        <v>1598</v>
      </c>
      <c r="C376" t="s">
        <v>565</v>
      </c>
      <c r="E376" t="s">
        <v>678</v>
      </c>
      <c r="F376">
        <v>54</v>
      </c>
      <c r="G376">
        <v>1952</v>
      </c>
      <c r="H376">
        <v>681</v>
      </c>
      <c r="I376">
        <v>0</v>
      </c>
      <c r="J376">
        <v>0</v>
      </c>
      <c r="K376">
        <v>0</v>
      </c>
    </row>
    <row r="377" spans="1:11">
      <c r="A377">
        <v>19052</v>
      </c>
      <c r="B377" t="s">
        <v>952</v>
      </c>
      <c r="C377" t="s">
        <v>624</v>
      </c>
      <c r="D377" t="s">
        <v>107</v>
      </c>
      <c r="E377" t="s">
        <v>682</v>
      </c>
      <c r="F377">
        <v>91</v>
      </c>
      <c r="G377">
        <v>1955</v>
      </c>
      <c r="H377">
        <v>682</v>
      </c>
      <c r="I377">
        <v>0</v>
      </c>
      <c r="J377">
        <v>0</v>
      </c>
      <c r="K377">
        <v>0</v>
      </c>
    </row>
    <row r="378" spans="1:11">
      <c r="A378">
        <v>96216</v>
      </c>
      <c r="B378" t="s">
        <v>953</v>
      </c>
      <c r="C378" t="s">
        <v>954</v>
      </c>
      <c r="E378" t="s">
        <v>757</v>
      </c>
      <c r="F378">
        <v>5</v>
      </c>
      <c r="G378">
        <v>1951</v>
      </c>
      <c r="H378">
        <v>483</v>
      </c>
      <c r="I378">
        <v>2.6890000000000001</v>
      </c>
      <c r="J378">
        <v>106.01900000000001</v>
      </c>
      <c r="K378">
        <v>0</v>
      </c>
    </row>
    <row r="379" spans="1:11">
      <c r="A379">
        <v>17007</v>
      </c>
      <c r="B379" t="s">
        <v>956</v>
      </c>
      <c r="C379" t="s">
        <v>582</v>
      </c>
      <c r="E379" t="s">
        <v>778</v>
      </c>
      <c r="F379">
        <v>85</v>
      </c>
      <c r="G379">
        <v>1952</v>
      </c>
      <c r="H379">
        <v>683</v>
      </c>
      <c r="I379">
        <v>0</v>
      </c>
      <c r="J379">
        <v>0</v>
      </c>
      <c r="K379">
        <v>0</v>
      </c>
    </row>
    <row r="380" spans="1:11">
      <c r="A380">
        <v>21040</v>
      </c>
      <c r="B380" t="s">
        <v>1599</v>
      </c>
      <c r="C380" t="s">
        <v>1024</v>
      </c>
      <c r="E380" t="s">
        <v>782</v>
      </c>
      <c r="F380">
        <v>90</v>
      </c>
      <c r="G380">
        <v>1979</v>
      </c>
      <c r="H380">
        <v>271</v>
      </c>
      <c r="I380">
        <v>12.032</v>
      </c>
      <c r="J380">
        <v>581.06899999999996</v>
      </c>
      <c r="K380">
        <v>113</v>
      </c>
    </row>
    <row r="381" spans="1:11">
      <c r="A381">
        <v>24515</v>
      </c>
      <c r="B381" t="s">
        <v>1600</v>
      </c>
      <c r="C381" t="s">
        <v>1259</v>
      </c>
      <c r="E381" t="s">
        <v>504</v>
      </c>
      <c r="F381">
        <v>63</v>
      </c>
      <c r="G381">
        <v>1957</v>
      </c>
      <c r="H381">
        <v>405</v>
      </c>
      <c r="I381">
        <v>3.9380000000000002</v>
      </c>
      <c r="J381">
        <v>204.61600000000001</v>
      </c>
      <c r="K381">
        <v>54</v>
      </c>
    </row>
    <row r="382" spans="1:11">
      <c r="A382">
        <v>24516</v>
      </c>
      <c r="B382" t="s">
        <v>1601</v>
      </c>
      <c r="C382" t="s">
        <v>1602</v>
      </c>
      <c r="D382" t="s">
        <v>107</v>
      </c>
      <c r="E382" t="s">
        <v>504</v>
      </c>
      <c r="F382">
        <v>63</v>
      </c>
      <c r="G382">
        <v>1967</v>
      </c>
      <c r="H382">
        <v>329</v>
      </c>
      <c r="I382">
        <v>5.6879999999999997</v>
      </c>
      <c r="J382">
        <v>355.61900000000003</v>
      </c>
      <c r="K382">
        <v>122</v>
      </c>
    </row>
    <row r="383" spans="1:11">
      <c r="A383">
        <v>20601</v>
      </c>
      <c r="B383" t="s">
        <v>1603</v>
      </c>
      <c r="C383" t="s">
        <v>957</v>
      </c>
      <c r="E383" t="s">
        <v>597</v>
      </c>
      <c r="F383">
        <v>95</v>
      </c>
      <c r="G383">
        <v>1977</v>
      </c>
      <c r="H383">
        <v>457</v>
      </c>
      <c r="I383">
        <v>4.0629999999999997</v>
      </c>
      <c r="J383">
        <v>140.48099999999999</v>
      </c>
      <c r="K383">
        <v>0</v>
      </c>
    </row>
    <row r="384" spans="1:11">
      <c r="A384">
        <v>20587</v>
      </c>
      <c r="B384" t="s">
        <v>958</v>
      </c>
      <c r="C384" t="s">
        <v>959</v>
      </c>
      <c r="D384" t="s">
        <v>91</v>
      </c>
      <c r="E384" t="s">
        <v>597</v>
      </c>
      <c r="F384">
        <v>95</v>
      </c>
      <c r="G384">
        <v>2008</v>
      </c>
      <c r="H384">
        <v>684</v>
      </c>
      <c r="I384">
        <v>0</v>
      </c>
      <c r="J384">
        <v>0</v>
      </c>
      <c r="K384">
        <v>0</v>
      </c>
    </row>
    <row r="385" spans="1:11">
      <c r="A385">
        <v>20570</v>
      </c>
      <c r="B385" t="s">
        <v>960</v>
      </c>
      <c r="C385" t="s">
        <v>626</v>
      </c>
      <c r="E385" t="s">
        <v>637</v>
      </c>
      <c r="F385">
        <v>92</v>
      </c>
      <c r="G385">
        <v>1959</v>
      </c>
      <c r="H385">
        <v>246</v>
      </c>
      <c r="I385">
        <v>12.002000000000001</v>
      </c>
      <c r="J385">
        <v>661.19299999999998</v>
      </c>
      <c r="K385">
        <v>116</v>
      </c>
    </row>
    <row r="386" spans="1:11">
      <c r="A386">
        <v>18063</v>
      </c>
      <c r="B386" t="s">
        <v>961</v>
      </c>
      <c r="C386" t="s">
        <v>615</v>
      </c>
      <c r="E386" t="s">
        <v>507</v>
      </c>
      <c r="F386">
        <v>20</v>
      </c>
      <c r="G386">
        <v>1988</v>
      </c>
      <c r="H386">
        <v>322</v>
      </c>
      <c r="I386">
        <v>9.7829999999999995</v>
      </c>
      <c r="J386">
        <v>376.15899999999999</v>
      </c>
      <c r="K386">
        <v>25</v>
      </c>
    </row>
    <row r="387" spans="1:11">
      <c r="A387">
        <v>21796</v>
      </c>
      <c r="B387" t="s">
        <v>1604</v>
      </c>
      <c r="C387" t="s">
        <v>697</v>
      </c>
      <c r="D387" t="s">
        <v>107</v>
      </c>
      <c r="E387" t="s">
        <v>571</v>
      </c>
      <c r="F387">
        <v>27</v>
      </c>
      <c r="G387">
        <v>1992</v>
      </c>
      <c r="H387">
        <v>544</v>
      </c>
      <c r="I387">
        <v>1.125</v>
      </c>
      <c r="J387">
        <v>43.743000000000002</v>
      </c>
      <c r="K387">
        <v>0</v>
      </c>
    </row>
    <row r="388" spans="1:11">
      <c r="A388">
        <v>23257</v>
      </c>
      <c r="B388" t="s">
        <v>1605</v>
      </c>
      <c r="C388" t="s">
        <v>714</v>
      </c>
      <c r="D388" t="s">
        <v>107</v>
      </c>
      <c r="E388" t="s">
        <v>597</v>
      </c>
      <c r="F388">
        <v>95</v>
      </c>
      <c r="G388">
        <v>1992</v>
      </c>
      <c r="H388">
        <v>216</v>
      </c>
      <c r="I388">
        <v>20.314</v>
      </c>
      <c r="J388">
        <v>823.26400000000001</v>
      </c>
      <c r="K388">
        <v>115</v>
      </c>
    </row>
    <row r="389" spans="1:11">
      <c r="A389">
        <v>19015</v>
      </c>
      <c r="B389" t="s">
        <v>1606</v>
      </c>
      <c r="C389" t="s">
        <v>602</v>
      </c>
      <c r="E389" t="s">
        <v>546</v>
      </c>
      <c r="F389">
        <v>86</v>
      </c>
      <c r="G389">
        <v>1991</v>
      </c>
      <c r="H389">
        <v>383</v>
      </c>
      <c r="I389">
        <v>2.6880000000000002</v>
      </c>
      <c r="J389">
        <v>247.65199999999999</v>
      </c>
      <c r="K389">
        <v>115</v>
      </c>
    </row>
    <row r="390" spans="1:11">
      <c r="A390">
        <v>21022</v>
      </c>
      <c r="B390" t="s">
        <v>1607</v>
      </c>
      <c r="C390" t="s">
        <v>710</v>
      </c>
      <c r="D390" t="s">
        <v>107</v>
      </c>
      <c r="E390" t="s">
        <v>546</v>
      </c>
      <c r="F390">
        <v>86</v>
      </c>
      <c r="G390">
        <v>1988</v>
      </c>
      <c r="H390">
        <v>685</v>
      </c>
      <c r="I390">
        <v>0</v>
      </c>
      <c r="J390">
        <v>0</v>
      </c>
      <c r="K390">
        <v>0</v>
      </c>
    </row>
    <row r="391" spans="1:11">
      <c r="A391">
        <v>18074</v>
      </c>
      <c r="B391" t="s">
        <v>962</v>
      </c>
      <c r="C391" t="s">
        <v>670</v>
      </c>
      <c r="E391" t="s">
        <v>513</v>
      </c>
      <c r="F391">
        <v>1</v>
      </c>
      <c r="G391">
        <v>2006</v>
      </c>
      <c r="H391">
        <v>124</v>
      </c>
      <c r="I391">
        <v>19.001000000000001</v>
      </c>
      <c r="J391">
        <v>1506.3889999999999</v>
      </c>
      <c r="K391">
        <v>672</v>
      </c>
    </row>
    <row r="392" spans="1:11">
      <c r="A392">
        <v>22125</v>
      </c>
      <c r="B392" t="s">
        <v>962</v>
      </c>
      <c r="C392" t="s">
        <v>554</v>
      </c>
      <c r="E392" t="s">
        <v>597</v>
      </c>
      <c r="F392">
        <v>95</v>
      </c>
      <c r="G392">
        <v>1952</v>
      </c>
      <c r="H392">
        <v>686</v>
      </c>
      <c r="I392">
        <v>0</v>
      </c>
      <c r="J392">
        <v>0</v>
      </c>
      <c r="K392">
        <v>0</v>
      </c>
    </row>
    <row r="393" spans="1:11">
      <c r="A393">
        <v>11001</v>
      </c>
      <c r="B393" t="s">
        <v>557</v>
      </c>
      <c r="C393" t="s">
        <v>582</v>
      </c>
      <c r="E393" t="s">
        <v>963</v>
      </c>
      <c r="F393">
        <v>80</v>
      </c>
      <c r="G393">
        <v>1954</v>
      </c>
      <c r="H393">
        <v>28</v>
      </c>
      <c r="I393">
        <v>39.5</v>
      </c>
      <c r="J393">
        <v>2845.8339999999998</v>
      </c>
      <c r="K393">
        <v>1276</v>
      </c>
    </row>
    <row r="394" spans="1:11">
      <c r="A394">
        <v>11039</v>
      </c>
      <c r="B394" t="s">
        <v>557</v>
      </c>
      <c r="C394" t="s">
        <v>644</v>
      </c>
      <c r="E394" t="s">
        <v>963</v>
      </c>
      <c r="F394">
        <v>80</v>
      </c>
      <c r="G394">
        <v>1980</v>
      </c>
      <c r="H394">
        <v>3</v>
      </c>
      <c r="I394">
        <v>58</v>
      </c>
      <c r="J394">
        <v>4415.5559999999996</v>
      </c>
      <c r="K394">
        <v>1929</v>
      </c>
    </row>
    <row r="395" spans="1:11">
      <c r="A395">
        <v>15002</v>
      </c>
      <c r="B395" t="s">
        <v>557</v>
      </c>
      <c r="C395" t="s">
        <v>671</v>
      </c>
      <c r="E395" t="s">
        <v>963</v>
      </c>
      <c r="F395">
        <v>80</v>
      </c>
      <c r="G395">
        <v>1978</v>
      </c>
      <c r="H395">
        <v>687</v>
      </c>
      <c r="I395">
        <v>0</v>
      </c>
      <c r="J395">
        <v>0</v>
      </c>
      <c r="K395">
        <v>0</v>
      </c>
    </row>
    <row r="396" spans="1:11">
      <c r="A396">
        <v>11002</v>
      </c>
      <c r="B396" t="s">
        <v>964</v>
      </c>
      <c r="C396" t="s">
        <v>633</v>
      </c>
      <c r="D396" t="s">
        <v>107</v>
      </c>
      <c r="E396" t="s">
        <v>963</v>
      </c>
      <c r="F396">
        <v>80</v>
      </c>
      <c r="G396">
        <v>1956</v>
      </c>
      <c r="H396">
        <v>70</v>
      </c>
      <c r="I396">
        <v>20.937999999999999</v>
      </c>
      <c r="J396">
        <v>2062.692</v>
      </c>
      <c r="K396">
        <v>1083</v>
      </c>
    </row>
    <row r="397" spans="1:11">
      <c r="A397">
        <v>21063</v>
      </c>
      <c r="B397" t="s">
        <v>964</v>
      </c>
      <c r="C397" t="s">
        <v>711</v>
      </c>
      <c r="D397" t="s">
        <v>107</v>
      </c>
      <c r="E397" t="s">
        <v>682</v>
      </c>
      <c r="F397">
        <v>91</v>
      </c>
      <c r="G397">
        <v>1958</v>
      </c>
      <c r="H397">
        <v>421</v>
      </c>
      <c r="I397">
        <v>3.9079999999999999</v>
      </c>
      <c r="J397">
        <v>182.31100000000001</v>
      </c>
      <c r="K397">
        <v>45</v>
      </c>
    </row>
    <row r="398" spans="1:11">
      <c r="A398">
        <v>21823</v>
      </c>
      <c r="B398" t="s">
        <v>966</v>
      </c>
      <c r="C398" t="s">
        <v>639</v>
      </c>
      <c r="E398" t="s">
        <v>220</v>
      </c>
      <c r="F398">
        <v>36</v>
      </c>
      <c r="G398">
        <v>1970</v>
      </c>
      <c r="H398">
        <v>688</v>
      </c>
      <c r="I398">
        <v>0</v>
      </c>
      <c r="J398">
        <v>0</v>
      </c>
      <c r="K398">
        <v>0</v>
      </c>
    </row>
    <row r="399" spans="1:11">
      <c r="A399">
        <v>24507</v>
      </c>
      <c r="B399" t="s">
        <v>1608</v>
      </c>
      <c r="C399" t="s">
        <v>626</v>
      </c>
      <c r="E399" t="s">
        <v>592</v>
      </c>
      <c r="F399">
        <v>2</v>
      </c>
      <c r="G399">
        <v>1983</v>
      </c>
      <c r="H399">
        <v>347</v>
      </c>
      <c r="I399">
        <v>5.5629999999999997</v>
      </c>
      <c r="J399">
        <v>319.298</v>
      </c>
      <c r="K399">
        <v>85</v>
      </c>
    </row>
    <row r="400" spans="1:11">
      <c r="A400">
        <v>20511</v>
      </c>
      <c r="B400" t="s">
        <v>967</v>
      </c>
      <c r="C400" t="s">
        <v>726</v>
      </c>
      <c r="E400" t="s">
        <v>708</v>
      </c>
      <c r="F400">
        <v>66</v>
      </c>
      <c r="G400">
        <v>1969</v>
      </c>
      <c r="H400">
        <v>209</v>
      </c>
      <c r="I400">
        <v>12.845000000000001</v>
      </c>
      <c r="J400">
        <v>858.25400000000002</v>
      </c>
      <c r="K400">
        <v>339</v>
      </c>
    </row>
    <row r="401" spans="1:11">
      <c r="A401">
        <v>13056</v>
      </c>
      <c r="B401" t="s">
        <v>968</v>
      </c>
      <c r="C401" t="s">
        <v>576</v>
      </c>
      <c r="E401" t="s">
        <v>161</v>
      </c>
      <c r="F401">
        <v>30</v>
      </c>
      <c r="G401">
        <v>1978</v>
      </c>
      <c r="H401">
        <v>310</v>
      </c>
      <c r="I401">
        <v>9.8439999999999994</v>
      </c>
      <c r="J401">
        <v>419.97899999999998</v>
      </c>
      <c r="K401">
        <v>78</v>
      </c>
    </row>
    <row r="402" spans="1:11">
      <c r="A402">
        <v>10071</v>
      </c>
      <c r="B402" t="s">
        <v>969</v>
      </c>
      <c r="C402" t="s">
        <v>598</v>
      </c>
      <c r="E402" t="s">
        <v>606</v>
      </c>
      <c r="F402">
        <v>21</v>
      </c>
      <c r="G402">
        <v>1958</v>
      </c>
      <c r="H402">
        <v>281</v>
      </c>
      <c r="I402">
        <v>11.782</v>
      </c>
      <c r="J402">
        <v>564.34299999999996</v>
      </c>
      <c r="K402">
        <v>131</v>
      </c>
    </row>
    <row r="403" spans="1:11">
      <c r="A403">
        <v>23056</v>
      </c>
      <c r="B403" t="s">
        <v>970</v>
      </c>
      <c r="C403" t="s">
        <v>971</v>
      </c>
      <c r="D403" t="s">
        <v>107</v>
      </c>
      <c r="E403" t="s">
        <v>163</v>
      </c>
      <c r="F403">
        <v>43</v>
      </c>
      <c r="G403">
        <v>1981</v>
      </c>
      <c r="H403">
        <v>165</v>
      </c>
      <c r="I403">
        <v>24.812999999999999</v>
      </c>
      <c r="J403">
        <v>1141.576</v>
      </c>
      <c r="K403">
        <v>199</v>
      </c>
    </row>
    <row r="404" spans="1:11">
      <c r="A404">
        <v>16124</v>
      </c>
      <c r="B404" t="s">
        <v>970</v>
      </c>
      <c r="C404" t="s">
        <v>563</v>
      </c>
      <c r="D404" t="s">
        <v>107</v>
      </c>
      <c r="E404" t="s">
        <v>782</v>
      </c>
      <c r="F404">
        <v>90</v>
      </c>
      <c r="G404">
        <v>1987</v>
      </c>
      <c r="H404">
        <v>143</v>
      </c>
      <c r="I404">
        <v>24.501000000000001</v>
      </c>
      <c r="J404">
        <v>1297.6869999999999</v>
      </c>
      <c r="K404">
        <v>394</v>
      </c>
    </row>
    <row r="405" spans="1:11">
      <c r="A405">
        <v>12058</v>
      </c>
      <c r="B405" t="s">
        <v>1609</v>
      </c>
      <c r="C405" t="s">
        <v>616</v>
      </c>
      <c r="D405" t="s">
        <v>107</v>
      </c>
      <c r="E405" t="s">
        <v>513</v>
      </c>
      <c r="F405">
        <v>1</v>
      </c>
      <c r="G405">
        <v>1979</v>
      </c>
      <c r="H405">
        <v>542</v>
      </c>
      <c r="I405">
        <v>1.5</v>
      </c>
      <c r="J405">
        <v>47.307000000000002</v>
      </c>
      <c r="K405">
        <v>0</v>
      </c>
    </row>
    <row r="406" spans="1:11">
      <c r="A406">
        <v>23249</v>
      </c>
      <c r="B406" t="s">
        <v>1610</v>
      </c>
      <c r="C406" t="s">
        <v>602</v>
      </c>
      <c r="D406" t="s">
        <v>91</v>
      </c>
      <c r="E406" t="s">
        <v>513</v>
      </c>
      <c r="F406">
        <v>1</v>
      </c>
      <c r="G406">
        <v>2014</v>
      </c>
      <c r="H406">
        <v>507</v>
      </c>
      <c r="I406">
        <v>2.3130000000000002</v>
      </c>
      <c r="J406">
        <v>82.394999999999996</v>
      </c>
      <c r="K406">
        <v>0</v>
      </c>
    </row>
    <row r="407" spans="1:11">
      <c r="A407">
        <v>16122</v>
      </c>
      <c r="B407" t="s">
        <v>972</v>
      </c>
      <c r="C407" t="s">
        <v>569</v>
      </c>
      <c r="E407" t="s">
        <v>164</v>
      </c>
      <c r="F407">
        <v>52</v>
      </c>
      <c r="G407">
        <v>1982</v>
      </c>
      <c r="H407">
        <v>269</v>
      </c>
      <c r="I407">
        <v>14.157</v>
      </c>
      <c r="J407">
        <v>583.62900000000002</v>
      </c>
      <c r="K407">
        <v>0</v>
      </c>
    </row>
    <row r="408" spans="1:11">
      <c r="A408">
        <v>27088</v>
      </c>
      <c r="B408" t="s">
        <v>973</v>
      </c>
      <c r="C408" t="s">
        <v>974</v>
      </c>
      <c r="D408" t="s">
        <v>107</v>
      </c>
      <c r="E408" t="s">
        <v>507</v>
      </c>
      <c r="F408">
        <v>20</v>
      </c>
      <c r="G408">
        <v>1970</v>
      </c>
      <c r="H408">
        <v>187</v>
      </c>
      <c r="I408">
        <v>9.3759999999999994</v>
      </c>
      <c r="J408">
        <v>1022.19</v>
      </c>
      <c r="K408">
        <v>573</v>
      </c>
    </row>
    <row r="409" spans="1:11">
      <c r="A409">
        <v>20565</v>
      </c>
      <c r="B409" t="s">
        <v>975</v>
      </c>
      <c r="C409" t="s">
        <v>976</v>
      </c>
      <c r="E409" t="s">
        <v>592</v>
      </c>
      <c r="F409">
        <v>2</v>
      </c>
      <c r="G409">
        <v>1980</v>
      </c>
      <c r="H409">
        <v>195</v>
      </c>
      <c r="I409">
        <v>16.5</v>
      </c>
      <c r="J409">
        <v>975.7</v>
      </c>
      <c r="K409">
        <v>285</v>
      </c>
    </row>
    <row r="410" spans="1:11">
      <c r="A410">
        <v>98482</v>
      </c>
      <c r="B410" t="s">
        <v>977</v>
      </c>
      <c r="C410" t="s">
        <v>615</v>
      </c>
      <c r="E410" t="s">
        <v>170</v>
      </c>
      <c r="F410">
        <v>14</v>
      </c>
      <c r="G410">
        <v>1970</v>
      </c>
      <c r="H410">
        <v>136</v>
      </c>
      <c r="I410">
        <v>23.22</v>
      </c>
      <c r="J410">
        <v>1359.451</v>
      </c>
      <c r="K410">
        <v>532</v>
      </c>
    </row>
    <row r="411" spans="1:11">
      <c r="A411">
        <v>22129</v>
      </c>
      <c r="B411" t="s">
        <v>979</v>
      </c>
      <c r="C411" t="s">
        <v>572</v>
      </c>
      <c r="D411" t="s">
        <v>107</v>
      </c>
      <c r="E411" t="s">
        <v>597</v>
      </c>
      <c r="F411">
        <v>95</v>
      </c>
      <c r="G411">
        <v>1969</v>
      </c>
      <c r="H411">
        <v>689</v>
      </c>
      <c r="I411">
        <v>0</v>
      </c>
      <c r="J411">
        <v>0</v>
      </c>
      <c r="K411">
        <v>0</v>
      </c>
    </row>
    <row r="412" spans="1:11">
      <c r="A412">
        <v>23248</v>
      </c>
      <c r="B412" t="s">
        <v>1611</v>
      </c>
      <c r="C412" t="s">
        <v>583</v>
      </c>
      <c r="E412" t="s">
        <v>751</v>
      </c>
      <c r="F412">
        <v>82</v>
      </c>
      <c r="G412">
        <v>1967</v>
      </c>
      <c r="H412">
        <v>214</v>
      </c>
      <c r="I412">
        <v>13.625999999999999</v>
      </c>
      <c r="J412">
        <v>826.88400000000001</v>
      </c>
      <c r="K412">
        <v>255</v>
      </c>
    </row>
    <row r="413" spans="1:11">
      <c r="A413">
        <v>18131</v>
      </c>
      <c r="B413" t="s">
        <v>980</v>
      </c>
      <c r="C413" t="s">
        <v>981</v>
      </c>
      <c r="D413" t="s">
        <v>107</v>
      </c>
      <c r="E413" t="s">
        <v>751</v>
      </c>
      <c r="F413">
        <v>82</v>
      </c>
      <c r="G413">
        <v>1968</v>
      </c>
      <c r="H413">
        <v>133</v>
      </c>
      <c r="I413">
        <v>26.907</v>
      </c>
      <c r="J413">
        <v>1402.752</v>
      </c>
      <c r="K413">
        <v>412</v>
      </c>
    </row>
    <row r="414" spans="1:11">
      <c r="A414">
        <v>29049</v>
      </c>
      <c r="B414" t="s">
        <v>982</v>
      </c>
      <c r="C414" t="s">
        <v>602</v>
      </c>
      <c r="E414" t="s">
        <v>501</v>
      </c>
      <c r="F414">
        <v>64</v>
      </c>
      <c r="G414">
        <v>1987</v>
      </c>
      <c r="H414">
        <v>15</v>
      </c>
      <c r="I414">
        <v>42.75</v>
      </c>
      <c r="J414">
        <v>3284.98</v>
      </c>
      <c r="K414">
        <v>1479</v>
      </c>
    </row>
    <row r="415" spans="1:11">
      <c r="A415">
        <v>24537</v>
      </c>
      <c r="B415" t="s">
        <v>1612</v>
      </c>
      <c r="C415" t="s">
        <v>1613</v>
      </c>
      <c r="D415" t="s">
        <v>657</v>
      </c>
      <c r="E415" t="s">
        <v>501</v>
      </c>
      <c r="F415">
        <v>64</v>
      </c>
      <c r="G415">
        <v>2015</v>
      </c>
      <c r="H415">
        <v>690</v>
      </c>
      <c r="I415">
        <v>0</v>
      </c>
      <c r="J415">
        <v>0</v>
      </c>
      <c r="K415">
        <v>0</v>
      </c>
    </row>
    <row r="416" spans="1:11">
      <c r="A416">
        <v>17031</v>
      </c>
      <c r="B416" t="s">
        <v>983</v>
      </c>
      <c r="C416" t="s">
        <v>670</v>
      </c>
      <c r="E416" t="s">
        <v>513</v>
      </c>
      <c r="F416">
        <v>1</v>
      </c>
      <c r="G416">
        <v>2004</v>
      </c>
      <c r="H416">
        <v>491</v>
      </c>
      <c r="I416">
        <v>2.875</v>
      </c>
      <c r="J416">
        <v>102.827</v>
      </c>
      <c r="K416">
        <v>0</v>
      </c>
    </row>
    <row r="417" spans="1:11">
      <c r="A417">
        <v>14046</v>
      </c>
      <c r="B417" t="s">
        <v>984</v>
      </c>
      <c r="C417" t="s">
        <v>615</v>
      </c>
      <c r="E417" t="s">
        <v>513</v>
      </c>
      <c r="F417">
        <v>1</v>
      </c>
      <c r="G417">
        <v>1953</v>
      </c>
      <c r="H417">
        <v>536</v>
      </c>
      <c r="I417">
        <v>2.0939999999999999</v>
      </c>
      <c r="J417">
        <v>58.079000000000001</v>
      </c>
      <c r="K417">
        <v>0</v>
      </c>
    </row>
    <row r="418" spans="1:11">
      <c r="A418">
        <v>18001</v>
      </c>
      <c r="B418" t="s">
        <v>985</v>
      </c>
      <c r="C418" t="s">
        <v>615</v>
      </c>
      <c r="E418" t="s">
        <v>751</v>
      </c>
      <c r="F418">
        <v>82</v>
      </c>
      <c r="G418">
        <v>1988</v>
      </c>
      <c r="H418">
        <v>146</v>
      </c>
      <c r="I418">
        <v>27.564</v>
      </c>
      <c r="J418">
        <v>1281.6790000000001</v>
      </c>
      <c r="K418">
        <v>264</v>
      </c>
    </row>
    <row r="419" spans="1:11">
      <c r="A419">
        <v>13004</v>
      </c>
      <c r="B419" t="s">
        <v>986</v>
      </c>
      <c r="C419" t="s">
        <v>583</v>
      </c>
      <c r="E419" t="s">
        <v>1349</v>
      </c>
      <c r="F419">
        <v>96</v>
      </c>
      <c r="G419">
        <v>1965</v>
      </c>
      <c r="H419">
        <v>291</v>
      </c>
      <c r="I419">
        <v>13.375999999999999</v>
      </c>
      <c r="J419">
        <v>496.584</v>
      </c>
      <c r="K419">
        <v>25</v>
      </c>
    </row>
    <row r="420" spans="1:11">
      <c r="A420">
        <v>13001</v>
      </c>
      <c r="B420" t="s">
        <v>1614</v>
      </c>
      <c r="C420" t="s">
        <v>585</v>
      </c>
      <c r="D420" t="s">
        <v>107</v>
      </c>
      <c r="E420" t="s">
        <v>1349</v>
      </c>
      <c r="F420">
        <v>96</v>
      </c>
      <c r="G420">
        <v>1970</v>
      </c>
      <c r="H420">
        <v>234</v>
      </c>
      <c r="I420">
        <v>12.095000000000001</v>
      </c>
      <c r="J420">
        <v>743.43200000000002</v>
      </c>
      <c r="K420">
        <v>275</v>
      </c>
    </row>
    <row r="421" spans="1:11">
      <c r="A421">
        <v>21821</v>
      </c>
      <c r="B421" t="s">
        <v>987</v>
      </c>
      <c r="C421" t="s">
        <v>620</v>
      </c>
      <c r="E421" t="s">
        <v>220</v>
      </c>
      <c r="F421">
        <v>36</v>
      </c>
      <c r="G421">
        <v>1960</v>
      </c>
      <c r="H421">
        <v>691</v>
      </c>
      <c r="I421">
        <v>0</v>
      </c>
      <c r="J421">
        <v>0</v>
      </c>
      <c r="K421">
        <v>0</v>
      </c>
    </row>
    <row r="422" spans="1:11">
      <c r="A422">
        <v>19041</v>
      </c>
      <c r="B422" t="s">
        <v>987</v>
      </c>
      <c r="C422" t="s">
        <v>565</v>
      </c>
      <c r="E422" t="s">
        <v>513</v>
      </c>
      <c r="F422">
        <v>1</v>
      </c>
      <c r="G422">
        <v>1969</v>
      </c>
      <c r="H422">
        <v>366</v>
      </c>
      <c r="I422">
        <v>9</v>
      </c>
      <c r="J422">
        <v>281.15800000000002</v>
      </c>
      <c r="K422">
        <v>0</v>
      </c>
    </row>
    <row r="423" spans="1:11">
      <c r="A423">
        <v>23054</v>
      </c>
      <c r="B423" t="s">
        <v>987</v>
      </c>
      <c r="C423" t="s">
        <v>583</v>
      </c>
      <c r="E423" t="s">
        <v>513</v>
      </c>
      <c r="F423">
        <v>1</v>
      </c>
      <c r="G423">
        <v>1978</v>
      </c>
      <c r="H423">
        <v>387</v>
      </c>
      <c r="I423">
        <v>6.1879999999999997</v>
      </c>
      <c r="J423">
        <v>236.422</v>
      </c>
      <c r="K423">
        <v>0</v>
      </c>
    </row>
    <row r="424" spans="1:11">
      <c r="A424">
        <v>19025</v>
      </c>
      <c r="B424" t="s">
        <v>989</v>
      </c>
      <c r="C424" t="s">
        <v>602</v>
      </c>
      <c r="E424" t="s">
        <v>553</v>
      </c>
      <c r="F424">
        <v>79</v>
      </c>
      <c r="G424">
        <v>1967</v>
      </c>
      <c r="H424">
        <v>115</v>
      </c>
      <c r="I424">
        <v>26.375</v>
      </c>
      <c r="J424">
        <v>1592.404</v>
      </c>
      <c r="K424">
        <v>641</v>
      </c>
    </row>
    <row r="425" spans="1:11">
      <c r="A425">
        <v>18076</v>
      </c>
      <c r="B425" t="s">
        <v>990</v>
      </c>
      <c r="C425" t="s">
        <v>991</v>
      </c>
      <c r="E425" t="s">
        <v>505</v>
      </c>
      <c r="F425">
        <v>89</v>
      </c>
      <c r="G425">
        <v>1960</v>
      </c>
      <c r="H425">
        <v>293</v>
      </c>
      <c r="I425">
        <v>10.313000000000001</v>
      </c>
      <c r="J425">
        <v>494.24400000000003</v>
      </c>
      <c r="K425">
        <v>126</v>
      </c>
    </row>
    <row r="426" spans="1:11">
      <c r="A426">
        <v>18077</v>
      </c>
      <c r="B426" t="s">
        <v>992</v>
      </c>
      <c r="C426" t="s">
        <v>817</v>
      </c>
      <c r="D426" t="s">
        <v>107</v>
      </c>
      <c r="E426" t="s">
        <v>505</v>
      </c>
      <c r="F426">
        <v>89</v>
      </c>
      <c r="G426">
        <v>1965</v>
      </c>
      <c r="H426">
        <v>692</v>
      </c>
      <c r="I426">
        <v>0</v>
      </c>
      <c r="J426">
        <v>0</v>
      </c>
      <c r="K426">
        <v>0</v>
      </c>
    </row>
    <row r="427" spans="1:11">
      <c r="A427">
        <v>16061</v>
      </c>
      <c r="B427" t="s">
        <v>993</v>
      </c>
      <c r="C427" t="s">
        <v>608</v>
      </c>
      <c r="E427" t="s">
        <v>841</v>
      </c>
      <c r="F427">
        <v>83</v>
      </c>
      <c r="G427">
        <v>1969</v>
      </c>
      <c r="H427">
        <v>514</v>
      </c>
      <c r="I427">
        <v>1.9059999999999999</v>
      </c>
      <c r="J427">
        <v>76.725999999999999</v>
      </c>
      <c r="K427">
        <v>0</v>
      </c>
    </row>
    <row r="428" spans="1:11">
      <c r="A428">
        <v>10012</v>
      </c>
      <c r="B428" t="s">
        <v>994</v>
      </c>
      <c r="C428" t="s">
        <v>602</v>
      </c>
      <c r="E428" t="s">
        <v>708</v>
      </c>
      <c r="F428">
        <v>66</v>
      </c>
      <c r="G428">
        <v>1975</v>
      </c>
      <c r="H428">
        <v>122</v>
      </c>
      <c r="I428">
        <v>29</v>
      </c>
      <c r="J428">
        <v>1519.538</v>
      </c>
      <c r="K428">
        <v>476</v>
      </c>
    </row>
    <row r="429" spans="1:11">
      <c r="A429">
        <v>12076</v>
      </c>
      <c r="B429" t="s">
        <v>1615</v>
      </c>
      <c r="C429" t="s">
        <v>710</v>
      </c>
      <c r="D429" t="s">
        <v>107</v>
      </c>
      <c r="E429" t="s">
        <v>606</v>
      </c>
      <c r="F429">
        <v>21</v>
      </c>
      <c r="G429">
        <v>1991</v>
      </c>
      <c r="H429">
        <v>693</v>
      </c>
      <c r="I429">
        <v>0</v>
      </c>
      <c r="J429">
        <v>0</v>
      </c>
      <c r="K429">
        <v>0</v>
      </c>
    </row>
    <row r="430" spans="1:11">
      <c r="A430">
        <v>16128</v>
      </c>
      <c r="B430" t="s">
        <v>995</v>
      </c>
      <c r="C430" t="s">
        <v>996</v>
      </c>
      <c r="D430" t="s">
        <v>91</v>
      </c>
      <c r="E430" t="s">
        <v>592</v>
      </c>
      <c r="F430">
        <v>2</v>
      </c>
      <c r="G430">
        <v>2009</v>
      </c>
      <c r="H430">
        <v>224</v>
      </c>
      <c r="I430">
        <v>15.25</v>
      </c>
      <c r="J430">
        <v>782.94899999999996</v>
      </c>
      <c r="K430">
        <v>184</v>
      </c>
    </row>
    <row r="431" spans="1:11">
      <c r="A431">
        <v>18099</v>
      </c>
      <c r="B431" t="s">
        <v>995</v>
      </c>
      <c r="C431" t="s">
        <v>557</v>
      </c>
      <c r="E431" t="s">
        <v>592</v>
      </c>
      <c r="F431">
        <v>2</v>
      </c>
      <c r="G431">
        <v>1974</v>
      </c>
      <c r="H431">
        <v>114</v>
      </c>
      <c r="I431">
        <v>32.625</v>
      </c>
      <c r="J431">
        <v>1594.597</v>
      </c>
      <c r="K431">
        <v>379</v>
      </c>
    </row>
    <row r="432" spans="1:11">
      <c r="A432">
        <v>13064</v>
      </c>
      <c r="B432" t="s">
        <v>998</v>
      </c>
      <c r="C432" t="s">
        <v>557</v>
      </c>
      <c r="E432" t="s">
        <v>513</v>
      </c>
      <c r="F432">
        <v>1</v>
      </c>
      <c r="G432">
        <v>1998</v>
      </c>
      <c r="H432">
        <v>12</v>
      </c>
      <c r="I432">
        <v>50.5</v>
      </c>
      <c r="J432">
        <v>3385.5129999999999</v>
      </c>
      <c r="K432">
        <v>1327</v>
      </c>
    </row>
    <row r="433" spans="1:11">
      <c r="A433">
        <v>28029</v>
      </c>
      <c r="B433" t="s">
        <v>999</v>
      </c>
      <c r="C433" t="s">
        <v>633</v>
      </c>
      <c r="D433" t="s">
        <v>107</v>
      </c>
      <c r="E433" t="s">
        <v>612</v>
      </c>
      <c r="F433">
        <v>62</v>
      </c>
      <c r="G433">
        <v>1968</v>
      </c>
      <c r="H433">
        <v>397</v>
      </c>
      <c r="I433">
        <v>7.5629999999999997</v>
      </c>
      <c r="J433">
        <v>218.42400000000001</v>
      </c>
      <c r="K433">
        <v>0</v>
      </c>
    </row>
    <row r="434" spans="1:11">
      <c r="A434">
        <v>28030</v>
      </c>
      <c r="B434" t="s">
        <v>1616</v>
      </c>
      <c r="C434" t="s">
        <v>554</v>
      </c>
      <c r="E434" t="s">
        <v>612</v>
      </c>
      <c r="F434">
        <v>62</v>
      </c>
      <c r="G434">
        <v>1967</v>
      </c>
      <c r="H434">
        <v>172</v>
      </c>
      <c r="I434">
        <v>22.065000000000001</v>
      </c>
      <c r="J434">
        <v>1098.078</v>
      </c>
      <c r="K434">
        <v>283</v>
      </c>
    </row>
    <row r="435" spans="1:11">
      <c r="A435">
        <v>99532</v>
      </c>
      <c r="B435" t="s">
        <v>1000</v>
      </c>
      <c r="C435" t="s">
        <v>660</v>
      </c>
      <c r="E435" t="s">
        <v>198</v>
      </c>
      <c r="F435">
        <v>17</v>
      </c>
      <c r="G435">
        <v>1965</v>
      </c>
      <c r="H435">
        <v>1</v>
      </c>
      <c r="I435">
        <v>58</v>
      </c>
      <c r="J435">
        <v>4722.6350000000002</v>
      </c>
      <c r="K435">
        <v>2090</v>
      </c>
    </row>
    <row r="436" spans="1:11">
      <c r="A436">
        <v>21775</v>
      </c>
      <c r="B436" t="s">
        <v>1000</v>
      </c>
      <c r="C436" t="s">
        <v>602</v>
      </c>
      <c r="E436" t="s">
        <v>198</v>
      </c>
      <c r="F436">
        <v>17</v>
      </c>
      <c r="G436">
        <v>1991</v>
      </c>
      <c r="H436">
        <v>7</v>
      </c>
      <c r="I436">
        <v>42.938000000000002</v>
      </c>
      <c r="J436">
        <v>3823.2449999999999</v>
      </c>
      <c r="K436">
        <v>1718</v>
      </c>
    </row>
    <row r="437" spans="1:11">
      <c r="A437">
        <v>21774</v>
      </c>
      <c r="B437" t="s">
        <v>1000</v>
      </c>
      <c r="C437" t="s">
        <v>569</v>
      </c>
      <c r="E437" t="s">
        <v>198</v>
      </c>
      <c r="F437">
        <v>17</v>
      </c>
      <c r="G437">
        <v>1994</v>
      </c>
      <c r="H437">
        <v>6</v>
      </c>
      <c r="I437">
        <v>52</v>
      </c>
      <c r="J437">
        <v>3855.8620000000001</v>
      </c>
      <c r="K437">
        <v>1657</v>
      </c>
    </row>
    <row r="438" spans="1:11">
      <c r="A438">
        <v>24235</v>
      </c>
      <c r="B438" t="s">
        <v>1001</v>
      </c>
      <c r="C438" t="s">
        <v>633</v>
      </c>
      <c r="D438" t="s">
        <v>107</v>
      </c>
      <c r="E438" t="s">
        <v>650</v>
      </c>
      <c r="F438">
        <v>15</v>
      </c>
      <c r="G438">
        <v>1995</v>
      </c>
      <c r="H438">
        <v>92</v>
      </c>
      <c r="I438">
        <v>22.626999999999999</v>
      </c>
      <c r="J438">
        <v>1871.0039999999999</v>
      </c>
      <c r="K438">
        <v>818</v>
      </c>
    </row>
    <row r="439" spans="1:11">
      <c r="A439">
        <v>20702</v>
      </c>
      <c r="B439" t="s">
        <v>1001</v>
      </c>
      <c r="C439" t="s">
        <v>881</v>
      </c>
      <c r="D439" t="s">
        <v>107</v>
      </c>
      <c r="E439" t="s">
        <v>198</v>
      </c>
      <c r="F439">
        <v>17</v>
      </c>
      <c r="G439">
        <v>1969</v>
      </c>
      <c r="H439">
        <v>283</v>
      </c>
      <c r="I439">
        <v>7.5</v>
      </c>
      <c r="J439">
        <v>538.75</v>
      </c>
      <c r="K439">
        <v>185</v>
      </c>
    </row>
    <row r="440" spans="1:11">
      <c r="A440">
        <v>15076</v>
      </c>
      <c r="B440" t="s">
        <v>1002</v>
      </c>
      <c r="C440" t="s">
        <v>664</v>
      </c>
      <c r="E440" t="s">
        <v>515</v>
      </c>
      <c r="F440">
        <v>13</v>
      </c>
      <c r="G440">
        <v>1984</v>
      </c>
      <c r="H440">
        <v>585</v>
      </c>
      <c r="I440">
        <v>0.78100000000000003</v>
      </c>
      <c r="J440">
        <v>17.783000000000001</v>
      </c>
      <c r="K440">
        <v>0</v>
      </c>
    </row>
    <row r="441" spans="1:11">
      <c r="A441">
        <v>26060</v>
      </c>
      <c r="B441" t="s">
        <v>1003</v>
      </c>
      <c r="C441" t="s">
        <v>602</v>
      </c>
      <c r="E441" t="s">
        <v>571</v>
      </c>
      <c r="F441">
        <v>27</v>
      </c>
      <c r="G441">
        <v>1953</v>
      </c>
      <c r="H441">
        <v>416</v>
      </c>
      <c r="I441">
        <v>5.9690000000000003</v>
      </c>
      <c r="J441">
        <v>193.57300000000001</v>
      </c>
      <c r="K441">
        <v>0</v>
      </c>
    </row>
    <row r="442" spans="1:11">
      <c r="A442">
        <v>15047</v>
      </c>
      <c r="B442" t="s">
        <v>1004</v>
      </c>
      <c r="C442" t="s">
        <v>565</v>
      </c>
      <c r="E442" t="s">
        <v>678</v>
      </c>
      <c r="F442">
        <v>54</v>
      </c>
      <c r="G442">
        <v>1978</v>
      </c>
      <c r="H442">
        <v>220</v>
      </c>
      <c r="I442">
        <v>9.1259999999999994</v>
      </c>
      <c r="J442">
        <v>792.56899999999996</v>
      </c>
      <c r="K442">
        <v>384</v>
      </c>
    </row>
    <row r="443" spans="1:11">
      <c r="A443">
        <v>16137</v>
      </c>
      <c r="B443" t="s">
        <v>1617</v>
      </c>
      <c r="C443" t="s">
        <v>1240</v>
      </c>
      <c r="D443" t="s">
        <v>107</v>
      </c>
      <c r="E443" t="s">
        <v>553</v>
      </c>
      <c r="F443">
        <v>79</v>
      </c>
      <c r="G443">
        <v>1986</v>
      </c>
      <c r="H443">
        <v>694</v>
      </c>
      <c r="I443">
        <v>0</v>
      </c>
      <c r="J443">
        <v>0</v>
      </c>
      <c r="K443">
        <v>0</v>
      </c>
    </row>
    <row r="444" spans="1:11">
      <c r="A444">
        <v>24225</v>
      </c>
      <c r="B444" t="s">
        <v>1005</v>
      </c>
      <c r="C444" t="s">
        <v>565</v>
      </c>
      <c r="E444" t="s">
        <v>566</v>
      </c>
      <c r="F444">
        <v>51</v>
      </c>
      <c r="G444">
        <v>1945</v>
      </c>
      <c r="H444">
        <v>695</v>
      </c>
      <c r="I444">
        <v>0</v>
      </c>
      <c r="J444">
        <v>0</v>
      </c>
      <c r="K444">
        <v>0</v>
      </c>
    </row>
    <row r="445" spans="1:11">
      <c r="A445">
        <v>23253</v>
      </c>
      <c r="B445" t="s">
        <v>1618</v>
      </c>
      <c r="C445" t="s">
        <v>707</v>
      </c>
      <c r="E445" t="s">
        <v>501</v>
      </c>
      <c r="F445">
        <v>64</v>
      </c>
      <c r="G445">
        <v>1990</v>
      </c>
      <c r="H445">
        <v>205</v>
      </c>
      <c r="I445">
        <v>16.312999999999999</v>
      </c>
      <c r="J445">
        <v>892.62199999999996</v>
      </c>
      <c r="K445">
        <v>276</v>
      </c>
    </row>
    <row r="446" spans="1:11">
      <c r="A446">
        <v>23239</v>
      </c>
      <c r="B446" t="s">
        <v>1619</v>
      </c>
      <c r="C446" t="s">
        <v>624</v>
      </c>
      <c r="D446" t="s">
        <v>107</v>
      </c>
      <c r="E446" t="s">
        <v>548</v>
      </c>
      <c r="F446">
        <v>81</v>
      </c>
      <c r="G446">
        <v>1961</v>
      </c>
      <c r="H446">
        <v>236</v>
      </c>
      <c r="I446">
        <v>14.861000000000001</v>
      </c>
      <c r="J446">
        <v>726.33399999999995</v>
      </c>
      <c r="K446">
        <v>134</v>
      </c>
    </row>
    <row r="447" spans="1:11">
      <c r="A447">
        <v>23211</v>
      </c>
      <c r="B447" t="s">
        <v>1620</v>
      </c>
      <c r="C447" t="s">
        <v>644</v>
      </c>
      <c r="E447" t="s">
        <v>504</v>
      </c>
      <c r="F447">
        <v>63</v>
      </c>
      <c r="G447">
        <v>2001</v>
      </c>
      <c r="H447">
        <v>435</v>
      </c>
      <c r="I447">
        <v>5.0309999999999997</v>
      </c>
      <c r="J447">
        <v>161.54900000000001</v>
      </c>
      <c r="K447">
        <v>0</v>
      </c>
    </row>
    <row r="448" spans="1:11">
      <c r="A448">
        <v>29037</v>
      </c>
      <c r="B448" t="s">
        <v>1006</v>
      </c>
      <c r="C448" t="s">
        <v>1007</v>
      </c>
      <c r="E448" t="s">
        <v>198</v>
      </c>
      <c r="F448">
        <v>17</v>
      </c>
      <c r="G448">
        <v>1974</v>
      </c>
      <c r="H448">
        <v>316</v>
      </c>
      <c r="I448">
        <v>7.157</v>
      </c>
      <c r="J448">
        <v>400.41899999999998</v>
      </c>
      <c r="K448">
        <v>140</v>
      </c>
    </row>
    <row r="449" spans="1:11">
      <c r="A449">
        <v>24535</v>
      </c>
      <c r="B449" t="s">
        <v>1621</v>
      </c>
      <c r="C449" t="s">
        <v>1041</v>
      </c>
      <c r="D449" t="s">
        <v>91</v>
      </c>
      <c r="E449" t="s">
        <v>513</v>
      </c>
      <c r="F449">
        <v>1</v>
      </c>
      <c r="G449">
        <v>2011</v>
      </c>
      <c r="H449">
        <v>696</v>
      </c>
      <c r="I449">
        <v>0</v>
      </c>
      <c r="J449">
        <v>0</v>
      </c>
      <c r="K449">
        <v>0</v>
      </c>
    </row>
    <row r="450" spans="1:11">
      <c r="A450">
        <v>98446</v>
      </c>
      <c r="B450" t="s">
        <v>1008</v>
      </c>
      <c r="C450" t="s">
        <v>582</v>
      </c>
      <c r="E450" t="s">
        <v>507</v>
      </c>
      <c r="F450">
        <v>20</v>
      </c>
      <c r="G450">
        <v>1969</v>
      </c>
      <c r="H450">
        <v>117</v>
      </c>
      <c r="I450">
        <v>33.25</v>
      </c>
      <c r="J450">
        <v>1577.9280000000001</v>
      </c>
      <c r="K450">
        <v>238</v>
      </c>
    </row>
    <row r="451" spans="1:11">
      <c r="A451">
        <v>19019</v>
      </c>
      <c r="B451" t="s">
        <v>1009</v>
      </c>
      <c r="C451" t="s">
        <v>955</v>
      </c>
      <c r="E451" t="s">
        <v>170</v>
      </c>
      <c r="F451">
        <v>14</v>
      </c>
      <c r="G451">
        <v>1986</v>
      </c>
      <c r="H451">
        <v>33</v>
      </c>
      <c r="I451">
        <v>34.938000000000002</v>
      </c>
      <c r="J451">
        <v>2714.5639999999999</v>
      </c>
      <c r="K451">
        <v>1177</v>
      </c>
    </row>
    <row r="452" spans="1:11">
      <c r="A452">
        <v>22178</v>
      </c>
      <c r="B452" t="s">
        <v>1622</v>
      </c>
      <c r="C452" t="s">
        <v>1328</v>
      </c>
      <c r="D452" t="s">
        <v>107</v>
      </c>
      <c r="E452" t="s">
        <v>170</v>
      </c>
      <c r="F452">
        <v>14</v>
      </c>
      <c r="G452">
        <v>1975</v>
      </c>
      <c r="H452">
        <v>569</v>
      </c>
      <c r="I452">
        <v>0.625</v>
      </c>
      <c r="J452">
        <v>23.745000000000001</v>
      </c>
      <c r="K452">
        <v>0</v>
      </c>
    </row>
    <row r="453" spans="1:11">
      <c r="A453">
        <v>16001</v>
      </c>
      <c r="B453" t="s">
        <v>1010</v>
      </c>
      <c r="C453" t="s">
        <v>647</v>
      </c>
      <c r="E453" t="s">
        <v>516</v>
      </c>
      <c r="F453">
        <v>42</v>
      </c>
      <c r="G453">
        <v>1981</v>
      </c>
      <c r="H453">
        <v>413</v>
      </c>
      <c r="I453">
        <v>4.2190000000000003</v>
      </c>
      <c r="J453">
        <v>197.52600000000001</v>
      </c>
      <c r="K453">
        <v>0</v>
      </c>
    </row>
    <row r="454" spans="1:11">
      <c r="A454">
        <v>24519</v>
      </c>
      <c r="B454" t="s">
        <v>1623</v>
      </c>
      <c r="C454" t="s">
        <v>965</v>
      </c>
      <c r="D454" t="s">
        <v>107</v>
      </c>
      <c r="E454" t="s">
        <v>1554</v>
      </c>
      <c r="F454">
        <v>97</v>
      </c>
      <c r="G454">
        <v>2002</v>
      </c>
      <c r="H454">
        <v>697</v>
      </c>
      <c r="I454">
        <v>0</v>
      </c>
      <c r="J454">
        <v>0</v>
      </c>
      <c r="K454">
        <v>0</v>
      </c>
    </row>
    <row r="455" spans="1:11">
      <c r="A455">
        <v>27062</v>
      </c>
      <c r="B455" t="s">
        <v>1011</v>
      </c>
      <c r="C455" t="s">
        <v>620</v>
      </c>
      <c r="E455" t="s">
        <v>768</v>
      </c>
      <c r="F455">
        <v>45</v>
      </c>
      <c r="G455">
        <v>1954</v>
      </c>
      <c r="H455">
        <v>184</v>
      </c>
      <c r="I455">
        <v>23.437999999999999</v>
      </c>
      <c r="J455">
        <v>1034.7850000000001</v>
      </c>
      <c r="K455">
        <v>305</v>
      </c>
    </row>
    <row r="456" spans="1:11">
      <c r="A456">
        <v>21080</v>
      </c>
      <c r="B456" t="s">
        <v>1624</v>
      </c>
      <c r="C456" t="s">
        <v>554</v>
      </c>
      <c r="E456" t="s">
        <v>778</v>
      </c>
      <c r="F456">
        <v>85</v>
      </c>
      <c r="G456">
        <v>1991</v>
      </c>
      <c r="H456">
        <v>698</v>
      </c>
      <c r="I456">
        <v>0</v>
      </c>
      <c r="J456">
        <v>0</v>
      </c>
      <c r="K456">
        <v>0</v>
      </c>
    </row>
    <row r="457" spans="1:11">
      <c r="A457">
        <v>18087</v>
      </c>
      <c r="B457" t="s">
        <v>1012</v>
      </c>
      <c r="C457" t="s">
        <v>559</v>
      </c>
      <c r="E457" t="s">
        <v>782</v>
      </c>
      <c r="F457">
        <v>90</v>
      </c>
      <c r="G457">
        <v>1960</v>
      </c>
      <c r="H457">
        <v>566</v>
      </c>
      <c r="I457">
        <v>0.84399999999999997</v>
      </c>
      <c r="J457">
        <v>28.058</v>
      </c>
      <c r="K457">
        <v>0</v>
      </c>
    </row>
    <row r="458" spans="1:11">
      <c r="A458">
        <v>18088</v>
      </c>
      <c r="B458" t="s">
        <v>1013</v>
      </c>
      <c r="C458" t="s">
        <v>628</v>
      </c>
      <c r="D458" t="s">
        <v>107</v>
      </c>
      <c r="E458" t="s">
        <v>782</v>
      </c>
      <c r="F458">
        <v>90</v>
      </c>
      <c r="G458">
        <v>1965</v>
      </c>
      <c r="H458">
        <v>699</v>
      </c>
      <c r="I458">
        <v>0</v>
      </c>
      <c r="J458">
        <v>0</v>
      </c>
      <c r="K458">
        <v>0</v>
      </c>
    </row>
    <row r="459" spans="1:11">
      <c r="A459">
        <v>98457</v>
      </c>
      <c r="B459" t="s">
        <v>1014</v>
      </c>
      <c r="C459" t="s">
        <v>608</v>
      </c>
      <c r="E459" t="s">
        <v>507</v>
      </c>
      <c r="F459">
        <v>20</v>
      </c>
      <c r="G459">
        <v>1960</v>
      </c>
      <c r="H459">
        <v>309</v>
      </c>
      <c r="I459">
        <v>9.532</v>
      </c>
      <c r="J459">
        <v>420.35599999999999</v>
      </c>
      <c r="K459">
        <v>0</v>
      </c>
    </row>
    <row r="460" spans="1:11">
      <c r="A460">
        <v>18045</v>
      </c>
      <c r="B460" t="s">
        <v>1017</v>
      </c>
      <c r="C460" t="s">
        <v>1018</v>
      </c>
      <c r="D460" t="s">
        <v>107</v>
      </c>
      <c r="E460" t="s">
        <v>161</v>
      </c>
      <c r="F460">
        <v>30</v>
      </c>
      <c r="G460">
        <v>1977</v>
      </c>
      <c r="H460">
        <v>700</v>
      </c>
      <c r="I460">
        <v>0</v>
      </c>
      <c r="J460">
        <v>0</v>
      </c>
      <c r="K460">
        <v>0</v>
      </c>
    </row>
    <row r="461" spans="1:11">
      <c r="A461">
        <v>20614</v>
      </c>
      <c r="B461" t="s">
        <v>1625</v>
      </c>
      <c r="C461" t="s">
        <v>680</v>
      </c>
      <c r="D461" t="s">
        <v>107</v>
      </c>
      <c r="E461" t="s">
        <v>666</v>
      </c>
      <c r="F461">
        <v>87</v>
      </c>
      <c r="G461">
        <v>1950</v>
      </c>
      <c r="H461">
        <v>173</v>
      </c>
      <c r="I461">
        <v>13.781000000000001</v>
      </c>
      <c r="J461">
        <v>1084.9159999999999</v>
      </c>
      <c r="K461">
        <v>577</v>
      </c>
    </row>
    <row r="462" spans="1:11">
      <c r="A462">
        <v>12053</v>
      </c>
      <c r="B462" t="s">
        <v>1019</v>
      </c>
      <c r="C462" t="s">
        <v>660</v>
      </c>
      <c r="E462" t="s">
        <v>765</v>
      </c>
      <c r="F462">
        <v>56</v>
      </c>
      <c r="G462">
        <v>1970</v>
      </c>
      <c r="H462">
        <v>412</v>
      </c>
      <c r="I462">
        <v>5</v>
      </c>
      <c r="J462">
        <v>197.64500000000001</v>
      </c>
      <c r="K462">
        <v>0</v>
      </c>
    </row>
    <row r="463" spans="1:11">
      <c r="A463">
        <v>22108</v>
      </c>
      <c r="B463" t="s">
        <v>1020</v>
      </c>
      <c r="C463" t="s">
        <v>810</v>
      </c>
      <c r="E463" t="s">
        <v>216</v>
      </c>
      <c r="F463">
        <v>33</v>
      </c>
      <c r="G463">
        <v>1979</v>
      </c>
      <c r="H463">
        <v>471</v>
      </c>
      <c r="I463">
        <v>1.782</v>
      </c>
      <c r="J463">
        <v>124.831</v>
      </c>
      <c r="K463">
        <v>48</v>
      </c>
    </row>
    <row r="464" spans="1:11">
      <c r="A464">
        <v>13011</v>
      </c>
      <c r="B464" t="s">
        <v>1020</v>
      </c>
      <c r="C464" t="s">
        <v>582</v>
      </c>
      <c r="E464" t="s">
        <v>630</v>
      </c>
      <c r="F464">
        <v>75</v>
      </c>
      <c r="G464">
        <v>1958</v>
      </c>
      <c r="H464">
        <v>461</v>
      </c>
      <c r="I464">
        <v>3.782</v>
      </c>
      <c r="J464">
        <v>137.672</v>
      </c>
      <c r="K464">
        <v>0</v>
      </c>
    </row>
    <row r="465" spans="1:11">
      <c r="A465">
        <v>23224</v>
      </c>
      <c r="B465" t="s">
        <v>1021</v>
      </c>
      <c r="C465" t="s">
        <v>585</v>
      </c>
      <c r="D465" t="s">
        <v>107</v>
      </c>
      <c r="E465" t="s">
        <v>666</v>
      </c>
      <c r="F465">
        <v>87</v>
      </c>
      <c r="G465">
        <v>1950</v>
      </c>
      <c r="H465">
        <v>420</v>
      </c>
      <c r="I465">
        <v>4.1879999999999997</v>
      </c>
      <c r="J465">
        <v>183.08199999999999</v>
      </c>
      <c r="K465">
        <v>21</v>
      </c>
    </row>
    <row r="466" spans="1:11">
      <c r="A466">
        <v>16058</v>
      </c>
      <c r="B466" t="s">
        <v>1022</v>
      </c>
      <c r="C466" t="s">
        <v>608</v>
      </c>
      <c r="E466" t="s">
        <v>841</v>
      </c>
      <c r="F466">
        <v>83</v>
      </c>
      <c r="G466">
        <v>1975</v>
      </c>
      <c r="H466">
        <v>302</v>
      </c>
      <c r="I466">
        <v>7.9690000000000003</v>
      </c>
      <c r="J466">
        <v>450.16</v>
      </c>
      <c r="K466">
        <v>130</v>
      </c>
    </row>
    <row r="467" spans="1:11">
      <c r="A467">
        <v>24511</v>
      </c>
      <c r="B467" t="s">
        <v>1626</v>
      </c>
      <c r="C467" t="s">
        <v>1529</v>
      </c>
      <c r="D467" t="s">
        <v>91</v>
      </c>
      <c r="E467" t="s">
        <v>782</v>
      </c>
      <c r="F467">
        <v>90</v>
      </c>
      <c r="G467">
        <v>2013</v>
      </c>
      <c r="H467">
        <v>701</v>
      </c>
      <c r="I467">
        <v>0</v>
      </c>
      <c r="J467">
        <v>0</v>
      </c>
      <c r="K467">
        <v>0</v>
      </c>
    </row>
    <row r="468" spans="1:11">
      <c r="A468">
        <v>24310</v>
      </c>
      <c r="B468" t="s">
        <v>1023</v>
      </c>
      <c r="C468" t="s">
        <v>1024</v>
      </c>
      <c r="E468" t="s">
        <v>573</v>
      </c>
      <c r="F468">
        <v>16</v>
      </c>
      <c r="G468">
        <v>1990</v>
      </c>
      <c r="H468">
        <v>87</v>
      </c>
      <c r="I468">
        <v>30</v>
      </c>
      <c r="J468">
        <v>1914.596</v>
      </c>
      <c r="K468">
        <v>587</v>
      </c>
    </row>
    <row r="469" spans="1:11">
      <c r="A469">
        <v>20576</v>
      </c>
      <c r="B469" t="s">
        <v>1025</v>
      </c>
      <c r="C469" t="s">
        <v>703</v>
      </c>
      <c r="D469" t="s">
        <v>657</v>
      </c>
      <c r="E469" t="s">
        <v>513</v>
      </c>
      <c r="F469">
        <v>1</v>
      </c>
      <c r="G469">
        <v>2012</v>
      </c>
      <c r="H469">
        <v>496</v>
      </c>
      <c r="I469">
        <v>2.4380000000000002</v>
      </c>
      <c r="J469">
        <v>95.948999999999998</v>
      </c>
      <c r="K469">
        <v>0</v>
      </c>
    </row>
    <row r="470" spans="1:11">
      <c r="A470">
        <v>24543</v>
      </c>
      <c r="B470" t="s">
        <v>1025</v>
      </c>
      <c r="C470" t="s">
        <v>1627</v>
      </c>
      <c r="D470" t="s">
        <v>657</v>
      </c>
      <c r="E470" t="s">
        <v>505</v>
      </c>
      <c r="F470">
        <v>89</v>
      </c>
      <c r="G470">
        <v>2016</v>
      </c>
      <c r="H470">
        <v>702</v>
      </c>
      <c r="I470">
        <v>0</v>
      </c>
      <c r="J470">
        <v>0</v>
      </c>
      <c r="K470">
        <v>0</v>
      </c>
    </row>
    <row r="471" spans="1:11">
      <c r="A471">
        <v>21039</v>
      </c>
      <c r="B471" t="s">
        <v>1026</v>
      </c>
      <c r="C471" t="s">
        <v>620</v>
      </c>
      <c r="E471" t="s">
        <v>782</v>
      </c>
      <c r="F471">
        <v>90</v>
      </c>
      <c r="G471">
        <v>1956</v>
      </c>
      <c r="H471">
        <v>390</v>
      </c>
      <c r="I471">
        <v>4.2190000000000003</v>
      </c>
      <c r="J471">
        <v>231.28700000000001</v>
      </c>
      <c r="K471">
        <v>50</v>
      </c>
    </row>
    <row r="472" spans="1:11">
      <c r="A472">
        <v>10026</v>
      </c>
      <c r="B472" t="s">
        <v>1026</v>
      </c>
      <c r="C472" t="s">
        <v>568</v>
      </c>
      <c r="E472" t="s">
        <v>520</v>
      </c>
      <c r="F472">
        <v>67</v>
      </c>
      <c r="G472">
        <v>1962</v>
      </c>
      <c r="H472">
        <v>703</v>
      </c>
      <c r="I472">
        <v>0</v>
      </c>
      <c r="J472">
        <v>0</v>
      </c>
      <c r="K472">
        <v>0</v>
      </c>
    </row>
    <row r="473" spans="1:11">
      <c r="A473">
        <v>15093</v>
      </c>
      <c r="B473" t="s">
        <v>1026</v>
      </c>
      <c r="C473" t="s">
        <v>615</v>
      </c>
      <c r="E473" t="s">
        <v>507</v>
      </c>
      <c r="F473">
        <v>20</v>
      </c>
      <c r="G473">
        <v>1969</v>
      </c>
      <c r="H473">
        <v>704</v>
      </c>
      <c r="I473">
        <v>0</v>
      </c>
      <c r="J473">
        <v>0</v>
      </c>
      <c r="K473">
        <v>0</v>
      </c>
    </row>
    <row r="474" spans="1:11">
      <c r="A474">
        <v>11018</v>
      </c>
      <c r="B474" t="s">
        <v>1029</v>
      </c>
      <c r="C474" t="s">
        <v>554</v>
      </c>
      <c r="E474" t="s">
        <v>768</v>
      </c>
      <c r="F474">
        <v>45</v>
      </c>
      <c r="G474">
        <v>1947</v>
      </c>
      <c r="H474">
        <v>222</v>
      </c>
      <c r="I474">
        <v>16.846</v>
      </c>
      <c r="J474">
        <v>786.93399999999997</v>
      </c>
      <c r="K474">
        <v>163</v>
      </c>
    </row>
    <row r="475" spans="1:11">
      <c r="A475">
        <v>18053</v>
      </c>
      <c r="B475" t="s">
        <v>1030</v>
      </c>
      <c r="C475" t="s">
        <v>1031</v>
      </c>
      <c r="D475" t="s">
        <v>107</v>
      </c>
      <c r="E475" t="s">
        <v>765</v>
      </c>
      <c r="F475">
        <v>56</v>
      </c>
      <c r="G475">
        <v>1967</v>
      </c>
      <c r="H475">
        <v>353</v>
      </c>
      <c r="I475">
        <v>6.8440000000000003</v>
      </c>
      <c r="J475">
        <v>304.24799999999999</v>
      </c>
      <c r="K475">
        <v>43</v>
      </c>
    </row>
    <row r="476" spans="1:11">
      <c r="A476">
        <v>16125</v>
      </c>
      <c r="B476" t="s">
        <v>1032</v>
      </c>
      <c r="C476" t="s">
        <v>789</v>
      </c>
      <c r="E476" t="s">
        <v>513</v>
      </c>
      <c r="F476">
        <v>1</v>
      </c>
      <c r="G476">
        <v>1996</v>
      </c>
      <c r="H476">
        <v>519</v>
      </c>
      <c r="I476">
        <v>1.8129999999999999</v>
      </c>
      <c r="J476">
        <v>67.525000000000006</v>
      </c>
      <c r="K476">
        <v>0</v>
      </c>
    </row>
    <row r="477" spans="1:11">
      <c r="A477">
        <v>19040</v>
      </c>
      <c r="B477" t="s">
        <v>1033</v>
      </c>
      <c r="C477" t="s">
        <v>569</v>
      </c>
      <c r="E477" t="s">
        <v>751</v>
      </c>
      <c r="F477">
        <v>82</v>
      </c>
      <c r="G477">
        <v>1975</v>
      </c>
      <c r="H477">
        <v>221</v>
      </c>
      <c r="I477">
        <v>18.375</v>
      </c>
      <c r="J477">
        <v>791.71199999999999</v>
      </c>
      <c r="K477">
        <v>139</v>
      </c>
    </row>
    <row r="478" spans="1:11">
      <c r="A478">
        <v>10058</v>
      </c>
      <c r="B478" t="s">
        <v>1628</v>
      </c>
      <c r="C478" t="s">
        <v>978</v>
      </c>
      <c r="E478" t="s">
        <v>161</v>
      </c>
      <c r="F478">
        <v>30</v>
      </c>
      <c r="G478">
        <v>1977</v>
      </c>
      <c r="H478">
        <v>208</v>
      </c>
      <c r="I478">
        <v>15.689</v>
      </c>
      <c r="J478">
        <v>871.05600000000004</v>
      </c>
      <c r="K478">
        <v>267</v>
      </c>
    </row>
    <row r="479" spans="1:11">
      <c r="A479">
        <v>13066</v>
      </c>
      <c r="B479" t="s">
        <v>1034</v>
      </c>
      <c r="C479" t="s">
        <v>583</v>
      </c>
      <c r="E479" t="s">
        <v>765</v>
      </c>
      <c r="F479">
        <v>56</v>
      </c>
      <c r="G479">
        <v>1967</v>
      </c>
      <c r="H479">
        <v>473</v>
      </c>
      <c r="I479">
        <v>3.5</v>
      </c>
      <c r="J479">
        <v>121.521</v>
      </c>
      <c r="K479">
        <v>0</v>
      </c>
    </row>
    <row r="480" spans="1:11">
      <c r="A480">
        <v>18066</v>
      </c>
      <c r="B480" t="s">
        <v>1035</v>
      </c>
      <c r="C480" t="s">
        <v>559</v>
      </c>
      <c r="E480" t="s">
        <v>510</v>
      </c>
      <c r="F480">
        <v>88</v>
      </c>
      <c r="G480">
        <v>1969</v>
      </c>
      <c r="H480">
        <v>157</v>
      </c>
      <c r="I480">
        <v>31.25</v>
      </c>
      <c r="J480">
        <v>1221.4449999999999</v>
      </c>
      <c r="K480">
        <v>109</v>
      </c>
    </row>
    <row r="481" spans="1:11">
      <c r="A481">
        <v>18072</v>
      </c>
      <c r="B481" t="s">
        <v>1035</v>
      </c>
      <c r="C481" t="s">
        <v>557</v>
      </c>
      <c r="E481" t="s">
        <v>510</v>
      </c>
      <c r="F481">
        <v>88</v>
      </c>
      <c r="G481">
        <v>2005</v>
      </c>
      <c r="H481">
        <v>182</v>
      </c>
      <c r="I481">
        <v>23.812999999999999</v>
      </c>
      <c r="J481">
        <v>1035.645</v>
      </c>
      <c r="K481">
        <v>195</v>
      </c>
    </row>
    <row r="482" spans="1:11">
      <c r="A482">
        <v>23021</v>
      </c>
      <c r="B482" t="s">
        <v>1036</v>
      </c>
      <c r="C482" t="s">
        <v>554</v>
      </c>
      <c r="E482" t="s">
        <v>163</v>
      </c>
      <c r="F482">
        <v>43</v>
      </c>
      <c r="G482">
        <v>1958</v>
      </c>
      <c r="H482">
        <v>191</v>
      </c>
      <c r="I482">
        <v>20.501000000000001</v>
      </c>
      <c r="J482">
        <v>996.846</v>
      </c>
      <c r="K482">
        <v>180</v>
      </c>
    </row>
    <row r="483" spans="1:11">
      <c r="A483">
        <v>23240</v>
      </c>
      <c r="B483" t="s">
        <v>1629</v>
      </c>
      <c r="C483" t="s">
        <v>568</v>
      </c>
      <c r="E483" t="s">
        <v>682</v>
      </c>
      <c r="F483">
        <v>91</v>
      </c>
      <c r="G483">
        <v>1956</v>
      </c>
      <c r="H483">
        <v>278</v>
      </c>
      <c r="I483">
        <v>15.22</v>
      </c>
      <c r="J483">
        <v>568.10599999999999</v>
      </c>
      <c r="K483">
        <v>60</v>
      </c>
    </row>
    <row r="484" spans="1:11">
      <c r="A484">
        <v>25073</v>
      </c>
      <c r="B484" t="s">
        <v>1037</v>
      </c>
      <c r="C484" t="s">
        <v>635</v>
      </c>
      <c r="E484" t="s">
        <v>200</v>
      </c>
      <c r="F484">
        <v>19</v>
      </c>
      <c r="G484">
        <v>1980</v>
      </c>
      <c r="H484">
        <v>594</v>
      </c>
      <c r="I484">
        <v>1.5</v>
      </c>
      <c r="J484">
        <v>10.37</v>
      </c>
      <c r="K484">
        <v>0</v>
      </c>
    </row>
    <row r="485" spans="1:11">
      <c r="A485">
        <v>15065</v>
      </c>
      <c r="B485" t="s">
        <v>1038</v>
      </c>
      <c r="C485" t="s">
        <v>583</v>
      </c>
      <c r="E485" t="s">
        <v>566</v>
      </c>
      <c r="F485">
        <v>51</v>
      </c>
      <c r="G485">
        <v>1963</v>
      </c>
      <c r="H485">
        <v>44</v>
      </c>
      <c r="I485">
        <v>29.125</v>
      </c>
      <c r="J485">
        <v>2409.2170000000001</v>
      </c>
      <c r="K485">
        <v>1191</v>
      </c>
    </row>
    <row r="486" spans="1:11">
      <c r="A486">
        <v>14024</v>
      </c>
      <c r="B486" t="s">
        <v>1039</v>
      </c>
      <c r="C486" t="s">
        <v>988</v>
      </c>
      <c r="D486" t="s">
        <v>107</v>
      </c>
      <c r="E486" t="s">
        <v>963</v>
      </c>
      <c r="F486">
        <v>80</v>
      </c>
      <c r="G486">
        <v>1973</v>
      </c>
      <c r="H486">
        <v>705</v>
      </c>
      <c r="I486">
        <v>0</v>
      </c>
      <c r="J486">
        <v>0</v>
      </c>
      <c r="K486">
        <v>0</v>
      </c>
    </row>
    <row r="487" spans="1:11">
      <c r="A487">
        <v>19046</v>
      </c>
      <c r="B487" t="s">
        <v>1040</v>
      </c>
      <c r="C487" t="s">
        <v>1041</v>
      </c>
      <c r="E487" t="s">
        <v>765</v>
      </c>
      <c r="F487">
        <v>56</v>
      </c>
      <c r="G487">
        <v>1996</v>
      </c>
      <c r="H487">
        <v>510</v>
      </c>
      <c r="I487">
        <v>2.5</v>
      </c>
      <c r="J487">
        <v>80.117999999999995</v>
      </c>
      <c r="K487">
        <v>0</v>
      </c>
    </row>
    <row r="488" spans="1:11">
      <c r="A488">
        <v>16082</v>
      </c>
      <c r="B488" t="s">
        <v>1042</v>
      </c>
      <c r="C488" t="s">
        <v>608</v>
      </c>
      <c r="E488" t="s">
        <v>666</v>
      </c>
      <c r="F488">
        <v>87</v>
      </c>
      <c r="G488">
        <v>1946</v>
      </c>
      <c r="H488">
        <v>135</v>
      </c>
      <c r="I488">
        <v>23.501000000000001</v>
      </c>
      <c r="J488">
        <v>1375.4829999999999</v>
      </c>
      <c r="K488">
        <v>712</v>
      </c>
    </row>
    <row r="489" spans="1:11">
      <c r="A489">
        <v>18073</v>
      </c>
      <c r="B489" t="s">
        <v>1043</v>
      </c>
      <c r="C489" t="s">
        <v>576</v>
      </c>
      <c r="E489" t="s">
        <v>510</v>
      </c>
      <c r="F489">
        <v>88</v>
      </c>
      <c r="G489">
        <v>1982</v>
      </c>
      <c r="H489">
        <v>706</v>
      </c>
      <c r="I489">
        <v>0</v>
      </c>
      <c r="J489">
        <v>0</v>
      </c>
      <c r="K489">
        <v>0</v>
      </c>
    </row>
    <row r="490" spans="1:11">
      <c r="A490">
        <v>18101</v>
      </c>
      <c r="B490" t="s">
        <v>1044</v>
      </c>
      <c r="C490" t="s">
        <v>742</v>
      </c>
      <c r="D490" t="s">
        <v>107</v>
      </c>
      <c r="E490" t="s">
        <v>510</v>
      </c>
      <c r="F490">
        <v>88</v>
      </c>
      <c r="G490">
        <v>1984</v>
      </c>
      <c r="H490">
        <v>707</v>
      </c>
      <c r="I490">
        <v>0</v>
      </c>
      <c r="J490">
        <v>0</v>
      </c>
      <c r="K490">
        <v>0</v>
      </c>
    </row>
    <row r="491" spans="1:11">
      <c r="A491">
        <v>29052</v>
      </c>
      <c r="B491" t="s">
        <v>1045</v>
      </c>
      <c r="C491" t="s">
        <v>602</v>
      </c>
      <c r="E491" t="s">
        <v>501</v>
      </c>
      <c r="F491">
        <v>64</v>
      </c>
      <c r="G491">
        <v>1973</v>
      </c>
      <c r="H491">
        <v>276</v>
      </c>
      <c r="I491">
        <v>12.875999999999999</v>
      </c>
      <c r="J491">
        <v>577.41200000000003</v>
      </c>
      <c r="K491">
        <v>75</v>
      </c>
    </row>
    <row r="492" spans="1:11">
      <c r="A492">
        <v>21049</v>
      </c>
      <c r="B492" t="s">
        <v>1630</v>
      </c>
      <c r="C492" t="s">
        <v>856</v>
      </c>
      <c r="E492" t="s">
        <v>571</v>
      </c>
      <c r="F492">
        <v>27</v>
      </c>
      <c r="G492">
        <v>1973</v>
      </c>
      <c r="H492">
        <v>121</v>
      </c>
      <c r="I492">
        <v>33.75</v>
      </c>
      <c r="J492">
        <v>1524.672</v>
      </c>
      <c r="K492">
        <v>270</v>
      </c>
    </row>
    <row r="493" spans="1:11">
      <c r="A493">
        <v>20598</v>
      </c>
      <c r="B493" t="s">
        <v>1631</v>
      </c>
      <c r="C493" t="s">
        <v>856</v>
      </c>
      <c r="E493" t="s">
        <v>597</v>
      </c>
      <c r="F493">
        <v>95</v>
      </c>
      <c r="G493">
        <v>1968</v>
      </c>
      <c r="H493">
        <v>708</v>
      </c>
      <c r="I493">
        <v>0</v>
      </c>
      <c r="J493">
        <v>0</v>
      </c>
      <c r="K493">
        <v>0</v>
      </c>
    </row>
    <row r="494" spans="1:11">
      <c r="A494">
        <v>20592</v>
      </c>
      <c r="B494" t="s">
        <v>1046</v>
      </c>
      <c r="C494" t="s">
        <v>572</v>
      </c>
      <c r="D494" t="s">
        <v>107</v>
      </c>
      <c r="E494" t="s">
        <v>597</v>
      </c>
      <c r="F494">
        <v>95</v>
      </c>
      <c r="G494">
        <v>1972</v>
      </c>
      <c r="H494">
        <v>709</v>
      </c>
      <c r="I494">
        <v>0</v>
      </c>
      <c r="J494">
        <v>0</v>
      </c>
      <c r="K494">
        <v>0</v>
      </c>
    </row>
    <row r="495" spans="1:11">
      <c r="A495">
        <v>15074</v>
      </c>
      <c r="B495" t="s">
        <v>1047</v>
      </c>
      <c r="C495" t="s">
        <v>552</v>
      </c>
      <c r="E495" t="s">
        <v>584</v>
      </c>
      <c r="F495">
        <v>69</v>
      </c>
      <c r="G495">
        <v>1975</v>
      </c>
      <c r="H495">
        <v>262</v>
      </c>
      <c r="I495">
        <v>11.282</v>
      </c>
      <c r="J495">
        <v>601.75599999999997</v>
      </c>
      <c r="K495">
        <v>257</v>
      </c>
    </row>
    <row r="496" spans="1:11">
      <c r="A496">
        <v>15079</v>
      </c>
      <c r="B496" t="s">
        <v>1048</v>
      </c>
      <c r="C496" t="s">
        <v>577</v>
      </c>
      <c r="E496" t="s">
        <v>515</v>
      </c>
      <c r="F496">
        <v>13</v>
      </c>
      <c r="G496">
        <v>1982</v>
      </c>
      <c r="H496">
        <v>437</v>
      </c>
      <c r="I496">
        <v>6.8129999999999997</v>
      </c>
      <c r="J496">
        <v>160.50800000000001</v>
      </c>
      <c r="K496">
        <v>0</v>
      </c>
    </row>
    <row r="497" spans="1:11">
      <c r="A497">
        <v>23236</v>
      </c>
      <c r="B497" t="s">
        <v>1632</v>
      </c>
      <c r="C497" t="s">
        <v>1633</v>
      </c>
      <c r="E497" t="s">
        <v>198</v>
      </c>
      <c r="F497">
        <v>17</v>
      </c>
      <c r="G497">
        <v>1994</v>
      </c>
      <c r="H497">
        <v>149</v>
      </c>
      <c r="I497">
        <v>22.687999999999999</v>
      </c>
      <c r="J497">
        <v>1276.395</v>
      </c>
      <c r="K497">
        <v>357</v>
      </c>
    </row>
    <row r="498" spans="1:11">
      <c r="A498">
        <v>24544</v>
      </c>
      <c r="B498" t="s">
        <v>582</v>
      </c>
      <c r="C498" t="s">
        <v>1266</v>
      </c>
      <c r="D498" t="s">
        <v>91</v>
      </c>
      <c r="E498" t="s">
        <v>782</v>
      </c>
      <c r="F498">
        <v>90</v>
      </c>
      <c r="G498">
        <v>2016</v>
      </c>
      <c r="H498">
        <v>710</v>
      </c>
      <c r="I498">
        <v>0</v>
      </c>
      <c r="J498">
        <v>0</v>
      </c>
      <c r="K498">
        <v>0</v>
      </c>
    </row>
    <row r="499" spans="1:11">
      <c r="A499">
        <v>10060</v>
      </c>
      <c r="B499" t="s">
        <v>1049</v>
      </c>
      <c r="C499" t="s">
        <v>624</v>
      </c>
      <c r="D499" t="s">
        <v>107</v>
      </c>
      <c r="E499" t="s">
        <v>612</v>
      </c>
      <c r="F499">
        <v>62</v>
      </c>
      <c r="G499">
        <v>1979</v>
      </c>
      <c r="H499">
        <v>578</v>
      </c>
      <c r="I499">
        <v>0.75</v>
      </c>
      <c r="J499">
        <v>18.617000000000001</v>
      </c>
      <c r="K499">
        <v>0</v>
      </c>
    </row>
    <row r="500" spans="1:11">
      <c r="A500">
        <v>19067</v>
      </c>
      <c r="B500" t="s">
        <v>1050</v>
      </c>
      <c r="C500" t="s">
        <v>559</v>
      </c>
      <c r="E500" t="s">
        <v>592</v>
      </c>
      <c r="F500">
        <v>2</v>
      </c>
      <c r="G500">
        <v>1963</v>
      </c>
      <c r="H500">
        <v>219</v>
      </c>
      <c r="I500">
        <v>18.187999999999999</v>
      </c>
      <c r="J500">
        <v>795.46299999999997</v>
      </c>
      <c r="K500">
        <v>184</v>
      </c>
    </row>
    <row r="501" spans="1:11">
      <c r="A501">
        <v>24541</v>
      </c>
      <c r="B501" t="s">
        <v>1634</v>
      </c>
      <c r="C501" t="s">
        <v>1635</v>
      </c>
      <c r="D501" t="s">
        <v>91</v>
      </c>
      <c r="E501" t="s">
        <v>505</v>
      </c>
      <c r="F501">
        <v>89</v>
      </c>
      <c r="G501">
        <v>2011</v>
      </c>
      <c r="H501">
        <v>559</v>
      </c>
      <c r="I501">
        <v>0.125</v>
      </c>
      <c r="J501">
        <v>31.167000000000002</v>
      </c>
      <c r="K501">
        <v>25</v>
      </c>
    </row>
    <row r="502" spans="1:11">
      <c r="A502">
        <v>24239</v>
      </c>
      <c r="B502" t="s">
        <v>1051</v>
      </c>
      <c r="C502" t="s">
        <v>714</v>
      </c>
      <c r="D502" t="s">
        <v>107</v>
      </c>
      <c r="E502" t="s">
        <v>198</v>
      </c>
      <c r="F502">
        <v>17</v>
      </c>
      <c r="G502">
        <v>1975</v>
      </c>
      <c r="H502">
        <v>528</v>
      </c>
      <c r="I502">
        <v>1.625</v>
      </c>
      <c r="J502">
        <v>63.185000000000002</v>
      </c>
      <c r="K502">
        <v>0</v>
      </c>
    </row>
    <row r="503" spans="1:11">
      <c r="A503">
        <v>97240</v>
      </c>
      <c r="B503" t="s">
        <v>1052</v>
      </c>
      <c r="C503" t="s">
        <v>608</v>
      </c>
      <c r="E503" t="s">
        <v>592</v>
      </c>
      <c r="F503">
        <v>2</v>
      </c>
      <c r="G503">
        <v>1950</v>
      </c>
      <c r="H503">
        <v>538</v>
      </c>
      <c r="I503">
        <v>1.5940000000000001</v>
      </c>
      <c r="J503">
        <v>55.981999999999999</v>
      </c>
      <c r="K503">
        <v>0</v>
      </c>
    </row>
    <row r="504" spans="1:11">
      <c r="A504">
        <v>22166</v>
      </c>
      <c r="B504" t="s">
        <v>1636</v>
      </c>
      <c r="C504" t="s">
        <v>582</v>
      </c>
      <c r="E504" t="s">
        <v>504</v>
      </c>
      <c r="F504">
        <v>63</v>
      </c>
      <c r="G504">
        <v>1986</v>
      </c>
      <c r="H504">
        <v>398</v>
      </c>
      <c r="I504">
        <v>3.125</v>
      </c>
      <c r="J504">
        <v>216.285</v>
      </c>
      <c r="K504">
        <v>86</v>
      </c>
    </row>
    <row r="505" spans="1:11">
      <c r="A505">
        <v>10027</v>
      </c>
      <c r="B505" t="s">
        <v>1053</v>
      </c>
      <c r="C505" t="s">
        <v>568</v>
      </c>
      <c r="E505" t="s">
        <v>520</v>
      </c>
      <c r="F505">
        <v>67</v>
      </c>
      <c r="G505">
        <v>1954</v>
      </c>
      <c r="H505">
        <v>488</v>
      </c>
      <c r="I505">
        <v>0.81299999999999994</v>
      </c>
      <c r="J505">
        <v>103.446</v>
      </c>
      <c r="K505">
        <v>69</v>
      </c>
    </row>
    <row r="506" spans="1:11">
      <c r="A506">
        <v>18054</v>
      </c>
      <c r="B506" t="s">
        <v>1054</v>
      </c>
      <c r="C506" t="s">
        <v>664</v>
      </c>
      <c r="E506" t="s">
        <v>553</v>
      </c>
      <c r="F506">
        <v>79</v>
      </c>
      <c r="G506">
        <v>1978</v>
      </c>
      <c r="H506">
        <v>711</v>
      </c>
      <c r="I506">
        <v>0</v>
      </c>
      <c r="J506">
        <v>0</v>
      </c>
      <c r="K506">
        <v>0</v>
      </c>
    </row>
    <row r="507" spans="1:11">
      <c r="A507">
        <v>21836</v>
      </c>
      <c r="B507" t="s">
        <v>1055</v>
      </c>
      <c r="C507" t="s">
        <v>569</v>
      </c>
      <c r="E507" t="s">
        <v>678</v>
      </c>
      <c r="F507">
        <v>54</v>
      </c>
      <c r="G507">
        <v>1963</v>
      </c>
      <c r="H507">
        <v>190</v>
      </c>
      <c r="I507">
        <v>15.002000000000001</v>
      </c>
      <c r="J507">
        <v>1003.312</v>
      </c>
      <c r="K507">
        <v>393</v>
      </c>
    </row>
    <row r="508" spans="1:11">
      <c r="A508">
        <v>28001</v>
      </c>
      <c r="B508" t="s">
        <v>1056</v>
      </c>
      <c r="C508" t="s">
        <v>852</v>
      </c>
      <c r="D508" t="s">
        <v>107</v>
      </c>
      <c r="E508" t="s">
        <v>678</v>
      </c>
      <c r="F508">
        <v>54</v>
      </c>
      <c r="G508">
        <v>1965</v>
      </c>
      <c r="H508">
        <v>185</v>
      </c>
      <c r="I508">
        <v>15.782999999999999</v>
      </c>
      <c r="J508">
        <v>1028.2239999999999</v>
      </c>
      <c r="K508">
        <v>384</v>
      </c>
    </row>
    <row r="509" spans="1:11">
      <c r="A509">
        <v>12042</v>
      </c>
      <c r="B509" t="s">
        <v>1057</v>
      </c>
      <c r="C509" t="s">
        <v>582</v>
      </c>
      <c r="E509" t="s">
        <v>599</v>
      </c>
      <c r="F509">
        <v>73</v>
      </c>
      <c r="G509">
        <v>1945</v>
      </c>
      <c r="H509">
        <v>161</v>
      </c>
      <c r="I509">
        <v>23.751000000000001</v>
      </c>
      <c r="J509">
        <v>1172.636</v>
      </c>
      <c r="K509">
        <v>423</v>
      </c>
    </row>
    <row r="510" spans="1:11">
      <c r="A510">
        <v>24512</v>
      </c>
      <c r="B510" t="s">
        <v>1637</v>
      </c>
      <c r="C510" t="s">
        <v>1508</v>
      </c>
      <c r="D510" t="s">
        <v>91</v>
      </c>
      <c r="E510" t="s">
        <v>782</v>
      </c>
      <c r="F510">
        <v>90</v>
      </c>
      <c r="G510">
        <v>2012</v>
      </c>
      <c r="H510">
        <v>712</v>
      </c>
      <c r="I510">
        <v>0</v>
      </c>
      <c r="J510">
        <v>0</v>
      </c>
      <c r="K510">
        <v>0</v>
      </c>
    </row>
    <row r="511" spans="1:11">
      <c r="A511">
        <v>10029</v>
      </c>
      <c r="B511" t="s">
        <v>1058</v>
      </c>
      <c r="C511" t="s">
        <v>602</v>
      </c>
      <c r="E511" t="s">
        <v>520</v>
      </c>
      <c r="F511">
        <v>67</v>
      </c>
      <c r="G511">
        <v>1954</v>
      </c>
      <c r="H511">
        <v>489</v>
      </c>
      <c r="I511">
        <v>0.81299999999999994</v>
      </c>
      <c r="J511">
        <v>103.446</v>
      </c>
      <c r="K511">
        <v>69</v>
      </c>
    </row>
    <row r="512" spans="1:11">
      <c r="A512">
        <v>96229</v>
      </c>
      <c r="B512" t="s">
        <v>1059</v>
      </c>
      <c r="C512" t="s">
        <v>615</v>
      </c>
      <c r="E512" t="s">
        <v>621</v>
      </c>
      <c r="F512">
        <v>28</v>
      </c>
      <c r="G512">
        <v>1959</v>
      </c>
      <c r="H512">
        <v>411</v>
      </c>
      <c r="I512">
        <v>5.2519999999999998</v>
      </c>
      <c r="J512">
        <v>198.79400000000001</v>
      </c>
      <c r="K512">
        <v>0</v>
      </c>
    </row>
    <row r="513" spans="1:11">
      <c r="A513">
        <v>21768</v>
      </c>
      <c r="B513" t="s">
        <v>1060</v>
      </c>
      <c r="C513" t="s">
        <v>582</v>
      </c>
      <c r="E513" t="s">
        <v>200</v>
      </c>
      <c r="F513">
        <v>19</v>
      </c>
      <c r="G513">
        <v>1963</v>
      </c>
      <c r="H513">
        <v>330</v>
      </c>
      <c r="I513">
        <v>6.25</v>
      </c>
      <c r="J513">
        <v>350.64</v>
      </c>
      <c r="K513">
        <v>136</v>
      </c>
    </row>
    <row r="514" spans="1:11">
      <c r="A514">
        <v>19055</v>
      </c>
      <c r="B514" t="s">
        <v>1061</v>
      </c>
      <c r="C514" t="s">
        <v>1062</v>
      </c>
      <c r="D514" t="s">
        <v>107</v>
      </c>
      <c r="E514" t="s">
        <v>507</v>
      </c>
      <c r="F514">
        <v>20</v>
      </c>
      <c r="G514">
        <v>1977</v>
      </c>
      <c r="H514">
        <v>713</v>
      </c>
      <c r="I514">
        <v>0</v>
      </c>
      <c r="J514">
        <v>0</v>
      </c>
      <c r="K514">
        <v>0</v>
      </c>
    </row>
    <row r="515" spans="1:11">
      <c r="A515">
        <v>20555</v>
      </c>
      <c r="B515" t="s">
        <v>1063</v>
      </c>
      <c r="C515" t="s">
        <v>568</v>
      </c>
      <c r="E515" t="s">
        <v>606</v>
      </c>
      <c r="F515">
        <v>21</v>
      </c>
      <c r="G515">
        <v>1949</v>
      </c>
      <c r="H515">
        <v>714</v>
      </c>
      <c r="I515">
        <v>0</v>
      </c>
      <c r="J515">
        <v>0</v>
      </c>
      <c r="K515">
        <v>0</v>
      </c>
    </row>
    <row r="516" spans="1:11">
      <c r="A516">
        <v>20545</v>
      </c>
      <c r="B516" t="s">
        <v>1064</v>
      </c>
      <c r="C516" t="s">
        <v>601</v>
      </c>
      <c r="D516" t="s">
        <v>107</v>
      </c>
      <c r="E516" t="s">
        <v>792</v>
      </c>
      <c r="F516">
        <v>93</v>
      </c>
      <c r="G516">
        <v>1960</v>
      </c>
      <c r="H516">
        <v>715</v>
      </c>
      <c r="I516">
        <v>0</v>
      </c>
      <c r="J516">
        <v>0</v>
      </c>
      <c r="K516">
        <v>0</v>
      </c>
    </row>
    <row r="517" spans="1:11">
      <c r="A517">
        <v>20503</v>
      </c>
      <c r="B517" t="s">
        <v>1064</v>
      </c>
      <c r="C517" t="s">
        <v>793</v>
      </c>
      <c r="D517" t="s">
        <v>107</v>
      </c>
      <c r="E517" t="s">
        <v>198</v>
      </c>
      <c r="F517">
        <v>17</v>
      </c>
      <c r="G517">
        <v>1996</v>
      </c>
      <c r="H517">
        <v>242</v>
      </c>
      <c r="I517">
        <v>13.782</v>
      </c>
      <c r="J517">
        <v>705.98500000000001</v>
      </c>
      <c r="K517">
        <v>184</v>
      </c>
    </row>
    <row r="518" spans="1:11">
      <c r="A518">
        <v>23223</v>
      </c>
      <c r="B518" t="s">
        <v>1065</v>
      </c>
      <c r="C518" t="s">
        <v>660</v>
      </c>
      <c r="E518" t="s">
        <v>666</v>
      </c>
      <c r="F518">
        <v>87</v>
      </c>
      <c r="G518">
        <v>1976</v>
      </c>
      <c r="H518">
        <v>595</v>
      </c>
      <c r="I518">
        <v>0.188</v>
      </c>
      <c r="J518">
        <v>8.7219999999999995</v>
      </c>
      <c r="K518">
        <v>0</v>
      </c>
    </row>
    <row r="519" spans="1:11">
      <c r="A519">
        <v>24547</v>
      </c>
      <c r="B519" t="s">
        <v>1065</v>
      </c>
      <c r="C519" t="s">
        <v>620</v>
      </c>
      <c r="E519" t="s">
        <v>597</v>
      </c>
      <c r="F519">
        <v>95</v>
      </c>
      <c r="G519">
        <v>1974</v>
      </c>
      <c r="H519">
        <v>717</v>
      </c>
      <c r="I519">
        <v>0</v>
      </c>
      <c r="J519">
        <v>0</v>
      </c>
      <c r="K519">
        <v>0</v>
      </c>
    </row>
    <row r="520" spans="1:11">
      <c r="A520">
        <v>20546</v>
      </c>
      <c r="B520" t="s">
        <v>1065</v>
      </c>
      <c r="C520" t="s">
        <v>582</v>
      </c>
      <c r="E520" t="s">
        <v>792</v>
      </c>
      <c r="F520">
        <v>93</v>
      </c>
      <c r="G520">
        <v>1988</v>
      </c>
      <c r="H520">
        <v>716</v>
      </c>
      <c r="I520">
        <v>0</v>
      </c>
      <c r="J520">
        <v>0</v>
      </c>
      <c r="K520">
        <v>0</v>
      </c>
    </row>
    <row r="521" spans="1:11">
      <c r="A521">
        <v>29042</v>
      </c>
      <c r="B521" t="s">
        <v>1066</v>
      </c>
      <c r="C521" t="s">
        <v>810</v>
      </c>
      <c r="E521" t="s">
        <v>504</v>
      </c>
      <c r="F521">
        <v>63</v>
      </c>
      <c r="G521">
        <v>1964</v>
      </c>
      <c r="H521">
        <v>373</v>
      </c>
      <c r="I521">
        <v>8.407</v>
      </c>
      <c r="J521">
        <v>271.673</v>
      </c>
      <c r="K521">
        <v>0</v>
      </c>
    </row>
    <row r="522" spans="1:11">
      <c r="A522">
        <v>10046</v>
      </c>
      <c r="B522" t="s">
        <v>1067</v>
      </c>
      <c r="C522" t="s">
        <v>632</v>
      </c>
      <c r="D522" t="s">
        <v>107</v>
      </c>
      <c r="E522" t="s">
        <v>504</v>
      </c>
      <c r="F522">
        <v>63</v>
      </c>
      <c r="G522">
        <v>2001</v>
      </c>
      <c r="H522">
        <v>436</v>
      </c>
      <c r="I522">
        <v>5.0309999999999997</v>
      </c>
      <c r="J522">
        <v>161.54900000000001</v>
      </c>
      <c r="K522">
        <v>0</v>
      </c>
    </row>
    <row r="523" spans="1:11">
      <c r="A523">
        <v>21859</v>
      </c>
      <c r="B523" t="s">
        <v>1068</v>
      </c>
      <c r="C523" t="s">
        <v>559</v>
      </c>
      <c r="E523" t="s">
        <v>216</v>
      </c>
      <c r="F523">
        <v>33</v>
      </c>
      <c r="G523">
        <v>1958</v>
      </c>
      <c r="H523">
        <v>718</v>
      </c>
      <c r="I523">
        <v>0</v>
      </c>
      <c r="J523">
        <v>0</v>
      </c>
      <c r="K523">
        <v>0</v>
      </c>
    </row>
    <row r="524" spans="1:11">
      <c r="A524">
        <v>12060</v>
      </c>
      <c r="B524" t="s">
        <v>1069</v>
      </c>
      <c r="C524" t="s">
        <v>656</v>
      </c>
      <c r="D524" t="s">
        <v>107</v>
      </c>
      <c r="E524" t="s">
        <v>553</v>
      </c>
      <c r="F524">
        <v>79</v>
      </c>
      <c r="G524">
        <v>1991</v>
      </c>
      <c r="H524">
        <v>719</v>
      </c>
      <c r="I524">
        <v>0</v>
      </c>
      <c r="J524">
        <v>0</v>
      </c>
      <c r="K524">
        <v>0</v>
      </c>
    </row>
    <row r="525" spans="1:11">
      <c r="A525">
        <v>21807</v>
      </c>
      <c r="B525" t="s">
        <v>1638</v>
      </c>
      <c r="C525" t="s">
        <v>616</v>
      </c>
      <c r="D525" t="s">
        <v>107</v>
      </c>
      <c r="E525" t="s">
        <v>516</v>
      </c>
      <c r="F525">
        <v>42</v>
      </c>
      <c r="G525">
        <v>1968</v>
      </c>
      <c r="H525">
        <v>331</v>
      </c>
      <c r="I525">
        <v>7.625</v>
      </c>
      <c r="J525">
        <v>348.84899999999999</v>
      </c>
      <c r="K525">
        <v>0</v>
      </c>
    </row>
    <row r="526" spans="1:11">
      <c r="A526">
        <v>21006</v>
      </c>
      <c r="B526" t="s">
        <v>1639</v>
      </c>
      <c r="C526" t="s">
        <v>639</v>
      </c>
      <c r="E526" t="s">
        <v>516</v>
      </c>
      <c r="F526">
        <v>42</v>
      </c>
      <c r="G526">
        <v>1959</v>
      </c>
      <c r="H526">
        <v>332</v>
      </c>
      <c r="I526">
        <v>7.625</v>
      </c>
      <c r="J526">
        <v>348.84899999999999</v>
      </c>
      <c r="K526">
        <v>0</v>
      </c>
    </row>
    <row r="527" spans="1:11">
      <c r="A527">
        <v>20506</v>
      </c>
      <c r="B527" t="s">
        <v>1070</v>
      </c>
      <c r="C527" t="s">
        <v>626</v>
      </c>
      <c r="E527" t="s">
        <v>216</v>
      </c>
      <c r="F527">
        <v>33</v>
      </c>
      <c r="G527">
        <v>1955</v>
      </c>
      <c r="H527">
        <v>462</v>
      </c>
      <c r="I527">
        <v>2.625</v>
      </c>
      <c r="J527">
        <v>137.09200000000001</v>
      </c>
      <c r="K527">
        <v>34</v>
      </c>
    </row>
    <row r="528" spans="1:11">
      <c r="A528">
        <v>10065</v>
      </c>
      <c r="B528" t="s">
        <v>1071</v>
      </c>
      <c r="C528" t="s">
        <v>789</v>
      </c>
      <c r="E528" t="s">
        <v>170</v>
      </c>
      <c r="F528">
        <v>14</v>
      </c>
      <c r="G528">
        <v>1992</v>
      </c>
      <c r="H528">
        <v>466</v>
      </c>
      <c r="I528">
        <v>3.5</v>
      </c>
      <c r="J528">
        <v>132.97200000000001</v>
      </c>
      <c r="K528">
        <v>0</v>
      </c>
    </row>
    <row r="529" spans="1:11">
      <c r="A529">
        <v>10064</v>
      </c>
      <c r="B529" t="s">
        <v>1071</v>
      </c>
      <c r="C529" t="s">
        <v>1072</v>
      </c>
      <c r="E529" t="s">
        <v>170</v>
      </c>
      <c r="F529">
        <v>14</v>
      </c>
      <c r="G529">
        <v>1987</v>
      </c>
      <c r="H529">
        <v>365</v>
      </c>
      <c r="I529">
        <v>3.8130000000000002</v>
      </c>
      <c r="J529">
        <v>281.75200000000001</v>
      </c>
      <c r="K529">
        <v>116</v>
      </c>
    </row>
    <row r="530" spans="1:11">
      <c r="A530">
        <v>16121</v>
      </c>
      <c r="B530" t="s">
        <v>1073</v>
      </c>
      <c r="C530" t="s">
        <v>596</v>
      </c>
      <c r="D530" t="s">
        <v>107</v>
      </c>
      <c r="E530" t="s">
        <v>516</v>
      </c>
      <c r="F530">
        <v>42</v>
      </c>
      <c r="G530">
        <v>1933</v>
      </c>
      <c r="H530">
        <v>357</v>
      </c>
      <c r="I530">
        <v>5.5010000000000003</v>
      </c>
      <c r="J530">
        <v>296.24599999999998</v>
      </c>
      <c r="K530">
        <v>47</v>
      </c>
    </row>
    <row r="531" spans="1:11">
      <c r="A531">
        <v>27069</v>
      </c>
      <c r="B531" t="s">
        <v>1074</v>
      </c>
      <c r="C531" t="s">
        <v>577</v>
      </c>
      <c r="E531" t="s">
        <v>613</v>
      </c>
      <c r="F531">
        <v>24</v>
      </c>
      <c r="G531">
        <v>1986</v>
      </c>
      <c r="H531">
        <v>445</v>
      </c>
      <c r="I531">
        <v>2.5939999999999999</v>
      </c>
      <c r="J531">
        <v>151.834</v>
      </c>
      <c r="K531">
        <v>35</v>
      </c>
    </row>
    <row r="532" spans="1:11">
      <c r="A532">
        <v>26074</v>
      </c>
      <c r="B532" t="s">
        <v>1074</v>
      </c>
      <c r="C532" t="s">
        <v>664</v>
      </c>
      <c r="E532" t="s">
        <v>613</v>
      </c>
      <c r="F532">
        <v>24</v>
      </c>
      <c r="G532">
        <v>1984</v>
      </c>
      <c r="H532">
        <v>286</v>
      </c>
      <c r="I532">
        <v>11.218999999999999</v>
      </c>
      <c r="J532">
        <v>507.78300000000002</v>
      </c>
      <c r="K532">
        <v>98</v>
      </c>
    </row>
    <row r="533" spans="1:11">
      <c r="A533">
        <v>29009</v>
      </c>
      <c r="B533" t="s">
        <v>1075</v>
      </c>
      <c r="C533" t="s">
        <v>759</v>
      </c>
      <c r="D533" t="s">
        <v>107</v>
      </c>
      <c r="E533" t="s">
        <v>164</v>
      </c>
      <c r="F533">
        <v>52</v>
      </c>
      <c r="G533">
        <v>1969</v>
      </c>
      <c r="H533">
        <v>230</v>
      </c>
      <c r="I533">
        <v>11.939</v>
      </c>
      <c r="J533">
        <v>758.63199999999995</v>
      </c>
      <c r="K533">
        <v>228</v>
      </c>
    </row>
    <row r="534" spans="1:11">
      <c r="A534">
        <v>17047</v>
      </c>
      <c r="B534" t="s">
        <v>1076</v>
      </c>
      <c r="C534" t="s">
        <v>707</v>
      </c>
      <c r="E534" t="s">
        <v>555</v>
      </c>
      <c r="F534">
        <v>70</v>
      </c>
      <c r="G534">
        <v>1948</v>
      </c>
      <c r="H534">
        <v>720</v>
      </c>
      <c r="I534">
        <v>0</v>
      </c>
      <c r="J534">
        <v>0</v>
      </c>
      <c r="K534">
        <v>0</v>
      </c>
    </row>
    <row r="535" spans="1:11">
      <c r="A535">
        <v>22104</v>
      </c>
      <c r="B535" t="s">
        <v>1640</v>
      </c>
      <c r="C535" t="s">
        <v>824</v>
      </c>
      <c r="D535" t="s">
        <v>657</v>
      </c>
      <c r="E535" t="s">
        <v>606</v>
      </c>
      <c r="F535">
        <v>21</v>
      </c>
      <c r="G535">
        <v>2009</v>
      </c>
      <c r="H535">
        <v>500</v>
      </c>
      <c r="I535">
        <v>2.0939999999999999</v>
      </c>
      <c r="J535">
        <v>92.161000000000001</v>
      </c>
      <c r="K535">
        <v>25</v>
      </c>
    </row>
    <row r="536" spans="1:11">
      <c r="A536">
        <v>20554</v>
      </c>
      <c r="B536" t="s">
        <v>1077</v>
      </c>
      <c r="C536" t="s">
        <v>647</v>
      </c>
      <c r="E536" t="s">
        <v>170</v>
      </c>
      <c r="F536">
        <v>14</v>
      </c>
      <c r="G536">
        <v>1965</v>
      </c>
      <c r="H536">
        <v>73</v>
      </c>
      <c r="I536">
        <v>28.812999999999999</v>
      </c>
      <c r="J536">
        <v>2047.7170000000001</v>
      </c>
      <c r="K536">
        <v>1040</v>
      </c>
    </row>
    <row r="537" spans="1:11">
      <c r="A537">
        <v>16086</v>
      </c>
      <c r="B537" t="s">
        <v>1077</v>
      </c>
      <c r="C537" t="s">
        <v>568</v>
      </c>
      <c r="E537" t="s">
        <v>666</v>
      </c>
      <c r="F537">
        <v>87</v>
      </c>
      <c r="G537">
        <v>1950</v>
      </c>
      <c r="H537">
        <v>147</v>
      </c>
      <c r="I537">
        <v>18.751999999999999</v>
      </c>
      <c r="J537">
        <v>1279.7829999999999</v>
      </c>
      <c r="K537">
        <v>544</v>
      </c>
    </row>
    <row r="538" spans="1:11">
      <c r="A538">
        <v>21052</v>
      </c>
      <c r="B538" t="s">
        <v>1641</v>
      </c>
      <c r="C538" t="s">
        <v>1642</v>
      </c>
      <c r="D538" t="s">
        <v>107</v>
      </c>
      <c r="E538" t="s">
        <v>170</v>
      </c>
      <c r="F538">
        <v>14</v>
      </c>
      <c r="G538">
        <v>1968</v>
      </c>
      <c r="H538">
        <v>264</v>
      </c>
      <c r="I538">
        <v>10.157999999999999</v>
      </c>
      <c r="J538">
        <v>599.65800000000002</v>
      </c>
      <c r="K538">
        <v>136</v>
      </c>
    </row>
    <row r="539" spans="1:11">
      <c r="A539">
        <v>21053</v>
      </c>
      <c r="B539" t="s">
        <v>1641</v>
      </c>
      <c r="C539" t="s">
        <v>601</v>
      </c>
      <c r="D539" t="s">
        <v>107</v>
      </c>
      <c r="E539" t="s">
        <v>170</v>
      </c>
      <c r="F539">
        <v>14</v>
      </c>
      <c r="G539">
        <v>1997</v>
      </c>
      <c r="H539">
        <v>67</v>
      </c>
      <c r="I539">
        <v>31.687999999999999</v>
      </c>
      <c r="J539">
        <v>2105.6640000000002</v>
      </c>
      <c r="K539">
        <v>902</v>
      </c>
    </row>
    <row r="540" spans="1:11">
      <c r="A540">
        <v>98379</v>
      </c>
      <c r="B540" t="s">
        <v>1078</v>
      </c>
      <c r="C540" t="s">
        <v>686</v>
      </c>
      <c r="E540" t="s">
        <v>504</v>
      </c>
      <c r="F540">
        <v>63</v>
      </c>
      <c r="G540">
        <v>1953</v>
      </c>
      <c r="H540">
        <v>521</v>
      </c>
      <c r="I540">
        <v>1.5629999999999999</v>
      </c>
      <c r="J540">
        <v>65.795000000000002</v>
      </c>
      <c r="K540">
        <v>0</v>
      </c>
    </row>
    <row r="541" spans="1:11">
      <c r="A541">
        <v>12048</v>
      </c>
      <c r="B541" t="s">
        <v>1079</v>
      </c>
      <c r="C541" t="s">
        <v>609</v>
      </c>
      <c r="E541" t="s">
        <v>170</v>
      </c>
      <c r="F541">
        <v>14</v>
      </c>
      <c r="G541">
        <v>1966</v>
      </c>
      <c r="H541">
        <v>227</v>
      </c>
      <c r="I541">
        <v>16.532</v>
      </c>
      <c r="J541">
        <v>769.88300000000004</v>
      </c>
      <c r="K541">
        <v>116</v>
      </c>
    </row>
    <row r="542" spans="1:11">
      <c r="A542">
        <v>22102</v>
      </c>
      <c r="B542" t="s">
        <v>1080</v>
      </c>
      <c r="C542" t="s">
        <v>620</v>
      </c>
      <c r="E542" t="s">
        <v>170</v>
      </c>
      <c r="F542">
        <v>14</v>
      </c>
      <c r="G542">
        <v>1975</v>
      </c>
      <c r="H542">
        <v>424</v>
      </c>
      <c r="I542">
        <v>4.7809999999999997</v>
      </c>
      <c r="J542">
        <v>169.751</v>
      </c>
      <c r="K542">
        <v>0</v>
      </c>
    </row>
    <row r="543" spans="1:11">
      <c r="A543">
        <v>99555</v>
      </c>
      <c r="B543" t="s">
        <v>1080</v>
      </c>
      <c r="C543" t="s">
        <v>552</v>
      </c>
      <c r="E543" t="s">
        <v>170</v>
      </c>
      <c r="F543">
        <v>14</v>
      </c>
      <c r="G543">
        <v>1981</v>
      </c>
      <c r="H543">
        <v>41</v>
      </c>
      <c r="I543">
        <v>42.25</v>
      </c>
      <c r="J543">
        <v>2442.7530000000002</v>
      </c>
      <c r="K543">
        <v>859</v>
      </c>
    </row>
    <row r="544" spans="1:11">
      <c r="A544">
        <v>15023</v>
      </c>
      <c r="B544" t="s">
        <v>1081</v>
      </c>
      <c r="C544" t="s">
        <v>702</v>
      </c>
      <c r="E544" t="s">
        <v>678</v>
      </c>
      <c r="F544">
        <v>54</v>
      </c>
      <c r="G544">
        <v>1965</v>
      </c>
      <c r="H544">
        <v>83</v>
      </c>
      <c r="I544">
        <v>25.376000000000001</v>
      </c>
      <c r="J544">
        <v>1955.252</v>
      </c>
      <c r="K544">
        <v>996</v>
      </c>
    </row>
    <row r="545" spans="1:11">
      <c r="A545">
        <v>20524</v>
      </c>
      <c r="B545" t="s">
        <v>1082</v>
      </c>
      <c r="C545" t="s">
        <v>602</v>
      </c>
      <c r="E545" t="s">
        <v>841</v>
      </c>
      <c r="F545">
        <v>83</v>
      </c>
      <c r="G545">
        <v>1970</v>
      </c>
      <c r="H545">
        <v>721</v>
      </c>
      <c r="I545">
        <v>0</v>
      </c>
      <c r="J545">
        <v>0</v>
      </c>
      <c r="K545">
        <v>0</v>
      </c>
    </row>
    <row r="546" spans="1:11">
      <c r="A546">
        <v>22128</v>
      </c>
      <c r="B546" t="s">
        <v>1643</v>
      </c>
      <c r="C546" t="s">
        <v>602</v>
      </c>
      <c r="E546" t="s">
        <v>597</v>
      </c>
      <c r="F546">
        <v>95</v>
      </c>
      <c r="G546">
        <v>1979</v>
      </c>
      <c r="H546">
        <v>529</v>
      </c>
      <c r="I546">
        <v>2</v>
      </c>
      <c r="J546">
        <v>63</v>
      </c>
      <c r="K546">
        <v>0</v>
      </c>
    </row>
    <row r="547" spans="1:11">
      <c r="A547">
        <v>17086</v>
      </c>
      <c r="B547" t="s">
        <v>1083</v>
      </c>
      <c r="C547" t="s">
        <v>565</v>
      </c>
      <c r="E547" t="s">
        <v>546</v>
      </c>
      <c r="F547">
        <v>86</v>
      </c>
      <c r="G547">
        <v>1995</v>
      </c>
      <c r="H547">
        <v>259</v>
      </c>
      <c r="I547">
        <v>7.72</v>
      </c>
      <c r="J547">
        <v>618.19000000000005</v>
      </c>
      <c r="K547">
        <v>279</v>
      </c>
    </row>
    <row r="548" spans="1:11">
      <c r="A548">
        <v>25017</v>
      </c>
      <c r="B548" t="s">
        <v>1084</v>
      </c>
      <c r="C548" t="s">
        <v>633</v>
      </c>
      <c r="D548" t="s">
        <v>107</v>
      </c>
      <c r="E548" t="s">
        <v>501</v>
      </c>
      <c r="F548">
        <v>64</v>
      </c>
      <c r="G548">
        <v>1963</v>
      </c>
      <c r="H548">
        <v>49</v>
      </c>
      <c r="I548">
        <v>31.562999999999999</v>
      </c>
      <c r="J548">
        <v>2349.3719999999998</v>
      </c>
      <c r="K548">
        <v>1343</v>
      </c>
    </row>
    <row r="549" spans="1:11">
      <c r="A549">
        <v>21023</v>
      </c>
      <c r="B549" t="s">
        <v>1644</v>
      </c>
      <c r="C549" t="s">
        <v>582</v>
      </c>
      <c r="E549" t="s">
        <v>546</v>
      </c>
      <c r="F549">
        <v>86</v>
      </c>
      <c r="G549">
        <v>1990</v>
      </c>
      <c r="H549">
        <v>531</v>
      </c>
      <c r="I549">
        <v>0.82799999999999996</v>
      </c>
      <c r="J549">
        <v>60.875</v>
      </c>
      <c r="K549">
        <v>20</v>
      </c>
    </row>
    <row r="550" spans="1:11">
      <c r="A550">
        <v>23229</v>
      </c>
      <c r="B550" t="s">
        <v>1645</v>
      </c>
      <c r="C550" t="s">
        <v>639</v>
      </c>
      <c r="E550" t="s">
        <v>513</v>
      </c>
      <c r="F550">
        <v>1</v>
      </c>
      <c r="G550">
        <v>1980</v>
      </c>
      <c r="H550">
        <v>40</v>
      </c>
      <c r="I550">
        <v>31.75</v>
      </c>
      <c r="J550">
        <v>2481.0680000000002</v>
      </c>
      <c r="K550">
        <v>1026</v>
      </c>
    </row>
    <row r="551" spans="1:11">
      <c r="A551">
        <v>20582</v>
      </c>
      <c r="B551" t="s">
        <v>1085</v>
      </c>
      <c r="C551" t="s">
        <v>1086</v>
      </c>
      <c r="E551" t="s">
        <v>597</v>
      </c>
      <c r="F551">
        <v>95</v>
      </c>
      <c r="G551">
        <v>1966</v>
      </c>
      <c r="H551">
        <v>540</v>
      </c>
      <c r="I551">
        <v>1.5309999999999999</v>
      </c>
      <c r="J551">
        <v>51.238999999999997</v>
      </c>
      <c r="K551">
        <v>0</v>
      </c>
    </row>
    <row r="552" spans="1:11">
      <c r="A552">
        <v>21805</v>
      </c>
      <c r="B552" t="s">
        <v>1087</v>
      </c>
      <c r="C552" t="s">
        <v>628</v>
      </c>
      <c r="D552" t="s">
        <v>107</v>
      </c>
      <c r="E552" t="s">
        <v>516</v>
      </c>
      <c r="F552">
        <v>42</v>
      </c>
      <c r="G552">
        <v>1959</v>
      </c>
      <c r="H552">
        <v>275</v>
      </c>
      <c r="I552">
        <v>13.72</v>
      </c>
      <c r="J552">
        <v>578.27300000000002</v>
      </c>
      <c r="K552">
        <v>54</v>
      </c>
    </row>
    <row r="553" spans="1:11">
      <c r="A553">
        <v>26086</v>
      </c>
      <c r="B553" t="s">
        <v>1088</v>
      </c>
      <c r="C553" t="s">
        <v>568</v>
      </c>
      <c r="E553" t="s">
        <v>220</v>
      </c>
      <c r="F553">
        <v>36</v>
      </c>
      <c r="G553">
        <v>1989</v>
      </c>
      <c r="H553">
        <v>723</v>
      </c>
      <c r="I553">
        <v>0</v>
      </c>
      <c r="J553">
        <v>0</v>
      </c>
      <c r="K553">
        <v>0</v>
      </c>
    </row>
    <row r="554" spans="1:11">
      <c r="A554">
        <v>15092</v>
      </c>
      <c r="B554" t="s">
        <v>1088</v>
      </c>
      <c r="C554" t="s">
        <v>569</v>
      </c>
      <c r="E554" t="s">
        <v>220</v>
      </c>
      <c r="F554">
        <v>36</v>
      </c>
      <c r="G554">
        <v>1988</v>
      </c>
      <c r="H554">
        <v>722</v>
      </c>
      <c r="I554">
        <v>0</v>
      </c>
      <c r="J554">
        <v>0</v>
      </c>
      <c r="K554">
        <v>0</v>
      </c>
    </row>
    <row r="555" spans="1:11">
      <c r="A555">
        <v>20617</v>
      </c>
      <c r="B555" t="s">
        <v>1646</v>
      </c>
      <c r="C555" t="s">
        <v>670</v>
      </c>
      <c r="E555" t="s">
        <v>198</v>
      </c>
      <c r="F555">
        <v>17</v>
      </c>
      <c r="G555">
        <v>1977</v>
      </c>
      <c r="H555">
        <v>16</v>
      </c>
      <c r="I555">
        <v>37.625</v>
      </c>
      <c r="J555">
        <v>3226.9340000000002</v>
      </c>
      <c r="K555">
        <v>1664</v>
      </c>
    </row>
    <row r="556" spans="1:11">
      <c r="A556">
        <v>22007</v>
      </c>
      <c r="B556" t="s">
        <v>1089</v>
      </c>
      <c r="C556" t="s">
        <v>602</v>
      </c>
      <c r="E556" t="s">
        <v>501</v>
      </c>
      <c r="F556">
        <v>64</v>
      </c>
      <c r="G556">
        <v>1977</v>
      </c>
      <c r="H556">
        <v>14</v>
      </c>
      <c r="I556">
        <v>38.25</v>
      </c>
      <c r="J556">
        <v>3368.922</v>
      </c>
      <c r="K556">
        <v>1556</v>
      </c>
    </row>
    <row r="557" spans="1:11">
      <c r="A557">
        <v>24538</v>
      </c>
      <c r="B557" t="s">
        <v>1647</v>
      </c>
      <c r="C557" t="s">
        <v>742</v>
      </c>
      <c r="D557" t="s">
        <v>107</v>
      </c>
      <c r="E557" t="s">
        <v>501</v>
      </c>
      <c r="F557">
        <v>64</v>
      </c>
      <c r="G557">
        <v>1981</v>
      </c>
      <c r="H557">
        <v>534</v>
      </c>
      <c r="I557">
        <v>1.375</v>
      </c>
      <c r="J557">
        <v>59.012</v>
      </c>
      <c r="K557">
        <v>0</v>
      </c>
    </row>
    <row r="558" spans="1:11">
      <c r="A558">
        <v>20701</v>
      </c>
      <c r="B558" t="s">
        <v>1090</v>
      </c>
      <c r="C558" t="s">
        <v>656</v>
      </c>
      <c r="D558" t="s">
        <v>107</v>
      </c>
      <c r="E558" t="s">
        <v>198</v>
      </c>
      <c r="F558">
        <v>17</v>
      </c>
      <c r="G558">
        <v>1971</v>
      </c>
      <c r="H558">
        <v>724</v>
      </c>
      <c r="I558">
        <v>0</v>
      </c>
      <c r="J558">
        <v>0</v>
      </c>
      <c r="K558">
        <v>0</v>
      </c>
    </row>
    <row r="559" spans="1:11">
      <c r="A559">
        <v>22175</v>
      </c>
      <c r="B559" t="s">
        <v>1648</v>
      </c>
      <c r="C559" t="s">
        <v>1649</v>
      </c>
      <c r="D559" t="s">
        <v>107</v>
      </c>
      <c r="E559" t="s">
        <v>546</v>
      </c>
      <c r="F559">
        <v>86</v>
      </c>
      <c r="G559">
        <v>2000</v>
      </c>
      <c r="H559">
        <v>725</v>
      </c>
      <c r="I559">
        <v>0</v>
      </c>
      <c r="J559">
        <v>0</v>
      </c>
      <c r="K559">
        <v>0</v>
      </c>
    </row>
    <row r="560" spans="1:11">
      <c r="A560">
        <v>17105</v>
      </c>
      <c r="B560" t="s">
        <v>1091</v>
      </c>
      <c r="C560" t="s">
        <v>1092</v>
      </c>
      <c r="E560" t="s">
        <v>553</v>
      </c>
      <c r="F560">
        <v>79</v>
      </c>
      <c r="G560">
        <v>1991</v>
      </c>
      <c r="H560">
        <v>533</v>
      </c>
      <c r="I560">
        <v>1.3129999999999999</v>
      </c>
      <c r="J560">
        <v>59.237000000000002</v>
      </c>
      <c r="K560">
        <v>0</v>
      </c>
    </row>
    <row r="561" spans="1:11">
      <c r="A561">
        <v>24271</v>
      </c>
      <c r="B561" t="s">
        <v>1093</v>
      </c>
      <c r="C561" t="s">
        <v>577</v>
      </c>
      <c r="E561" t="s">
        <v>170</v>
      </c>
      <c r="F561">
        <v>14</v>
      </c>
      <c r="G561">
        <v>1972</v>
      </c>
      <c r="H561">
        <v>111</v>
      </c>
      <c r="I561">
        <v>37.438000000000002</v>
      </c>
      <c r="J561">
        <v>1605.4259999999999</v>
      </c>
      <c r="K561">
        <v>301</v>
      </c>
    </row>
    <row r="562" spans="1:11">
      <c r="A562">
        <v>18042</v>
      </c>
      <c r="B562" t="s">
        <v>1094</v>
      </c>
      <c r="C562" t="s">
        <v>1095</v>
      </c>
      <c r="D562" t="s">
        <v>91</v>
      </c>
      <c r="E562" t="s">
        <v>606</v>
      </c>
      <c r="F562">
        <v>21</v>
      </c>
      <c r="G562">
        <v>2008</v>
      </c>
      <c r="H562">
        <v>74</v>
      </c>
      <c r="I562">
        <v>27.626000000000001</v>
      </c>
      <c r="J562">
        <v>2031.202</v>
      </c>
      <c r="K562">
        <v>1015</v>
      </c>
    </row>
    <row r="563" spans="1:11">
      <c r="A563">
        <v>18043</v>
      </c>
      <c r="B563" t="s">
        <v>1096</v>
      </c>
      <c r="C563" t="s">
        <v>1097</v>
      </c>
      <c r="D563" t="s">
        <v>107</v>
      </c>
      <c r="E563" t="s">
        <v>606</v>
      </c>
      <c r="F563">
        <v>21</v>
      </c>
      <c r="G563">
        <v>2004</v>
      </c>
      <c r="H563">
        <v>233</v>
      </c>
      <c r="I563">
        <v>10.689</v>
      </c>
      <c r="J563">
        <v>745.13599999999997</v>
      </c>
      <c r="K563">
        <v>312</v>
      </c>
    </row>
    <row r="564" spans="1:11">
      <c r="A564">
        <v>18064</v>
      </c>
      <c r="B564" t="s">
        <v>1098</v>
      </c>
      <c r="C564" t="s">
        <v>647</v>
      </c>
      <c r="E564" t="s">
        <v>510</v>
      </c>
      <c r="F564">
        <v>88</v>
      </c>
      <c r="G564">
        <v>1969</v>
      </c>
      <c r="H564">
        <v>174</v>
      </c>
      <c r="I564">
        <v>17.812999999999999</v>
      </c>
      <c r="J564">
        <v>1084.9110000000001</v>
      </c>
      <c r="K564">
        <v>446</v>
      </c>
    </row>
    <row r="565" spans="1:11">
      <c r="A565">
        <v>22120</v>
      </c>
      <c r="B565" t="s">
        <v>1099</v>
      </c>
      <c r="C565" t="s">
        <v>742</v>
      </c>
      <c r="D565" t="s">
        <v>657</v>
      </c>
      <c r="E565" t="s">
        <v>510</v>
      </c>
      <c r="F565">
        <v>88</v>
      </c>
      <c r="G565">
        <v>2014</v>
      </c>
      <c r="H565">
        <v>231</v>
      </c>
      <c r="I565">
        <v>16.251999999999999</v>
      </c>
      <c r="J565">
        <v>753.97900000000004</v>
      </c>
      <c r="K565">
        <v>152</v>
      </c>
    </row>
    <row r="566" spans="1:11">
      <c r="A566">
        <v>20579</v>
      </c>
      <c r="B566" t="s">
        <v>1099</v>
      </c>
      <c r="C566" t="s">
        <v>1100</v>
      </c>
      <c r="D566" t="s">
        <v>657</v>
      </c>
      <c r="E566" t="s">
        <v>510</v>
      </c>
      <c r="F566">
        <v>88</v>
      </c>
      <c r="G566">
        <v>2012</v>
      </c>
      <c r="H566">
        <v>241</v>
      </c>
      <c r="I566">
        <v>17.032</v>
      </c>
      <c r="J566">
        <v>709.00900000000001</v>
      </c>
      <c r="K566">
        <v>118</v>
      </c>
    </row>
    <row r="567" spans="1:11">
      <c r="A567">
        <v>20585</v>
      </c>
      <c r="B567" t="s">
        <v>1101</v>
      </c>
      <c r="C567" t="s">
        <v>589</v>
      </c>
      <c r="D567" t="s">
        <v>91</v>
      </c>
      <c r="E567" t="s">
        <v>597</v>
      </c>
      <c r="F567">
        <v>95</v>
      </c>
      <c r="G567">
        <v>2007</v>
      </c>
      <c r="H567">
        <v>493</v>
      </c>
      <c r="I567">
        <v>1.4059999999999999</v>
      </c>
      <c r="J567">
        <v>99.900999999999996</v>
      </c>
      <c r="K567">
        <v>39</v>
      </c>
    </row>
    <row r="568" spans="1:11">
      <c r="A568">
        <v>20584</v>
      </c>
      <c r="B568" t="s">
        <v>1101</v>
      </c>
      <c r="C568" t="s">
        <v>583</v>
      </c>
      <c r="E568" t="s">
        <v>597</v>
      </c>
      <c r="F568">
        <v>95</v>
      </c>
      <c r="G568">
        <v>1976</v>
      </c>
      <c r="H568">
        <v>369</v>
      </c>
      <c r="I568">
        <v>6.3449999999999998</v>
      </c>
      <c r="J568">
        <v>279.923</v>
      </c>
      <c r="K568">
        <v>39</v>
      </c>
    </row>
    <row r="569" spans="1:11">
      <c r="A569">
        <v>20586</v>
      </c>
      <c r="B569" t="s">
        <v>1101</v>
      </c>
      <c r="C569" t="s">
        <v>1027</v>
      </c>
      <c r="D569" t="s">
        <v>91</v>
      </c>
      <c r="E569" t="s">
        <v>597</v>
      </c>
      <c r="F569">
        <v>95</v>
      </c>
      <c r="G569">
        <v>2010</v>
      </c>
      <c r="H569">
        <v>482</v>
      </c>
      <c r="I569">
        <v>1.5620000000000001</v>
      </c>
      <c r="J569">
        <v>106.742</v>
      </c>
      <c r="K569">
        <v>39</v>
      </c>
    </row>
    <row r="570" spans="1:11">
      <c r="A570">
        <v>97242</v>
      </c>
      <c r="B570" t="s">
        <v>1102</v>
      </c>
      <c r="C570" t="s">
        <v>620</v>
      </c>
      <c r="E570" t="s">
        <v>592</v>
      </c>
      <c r="F570">
        <v>2</v>
      </c>
      <c r="G570">
        <v>1951</v>
      </c>
      <c r="H570">
        <v>539</v>
      </c>
      <c r="I570">
        <v>1.5940000000000001</v>
      </c>
      <c r="J570">
        <v>55.981999999999999</v>
      </c>
      <c r="K570">
        <v>0</v>
      </c>
    </row>
    <row r="571" spans="1:11">
      <c r="A571">
        <v>23084</v>
      </c>
      <c r="B571" t="s">
        <v>1103</v>
      </c>
      <c r="C571" t="s">
        <v>545</v>
      </c>
      <c r="E571" t="s">
        <v>592</v>
      </c>
      <c r="F571">
        <v>2</v>
      </c>
      <c r="G571">
        <v>1952</v>
      </c>
      <c r="H571">
        <v>261</v>
      </c>
      <c r="I571">
        <v>17.157</v>
      </c>
      <c r="J571">
        <v>606.67200000000003</v>
      </c>
      <c r="K571">
        <v>112</v>
      </c>
    </row>
    <row r="572" spans="1:11">
      <c r="A572">
        <v>27086</v>
      </c>
      <c r="B572" t="s">
        <v>1104</v>
      </c>
      <c r="C572" t="s">
        <v>608</v>
      </c>
      <c r="E572" t="s">
        <v>200</v>
      </c>
      <c r="F572">
        <v>19</v>
      </c>
      <c r="G572">
        <v>1947</v>
      </c>
      <c r="H572">
        <v>550</v>
      </c>
      <c r="I572">
        <v>0.5</v>
      </c>
      <c r="J572">
        <v>36.83</v>
      </c>
      <c r="K572">
        <v>18</v>
      </c>
    </row>
    <row r="573" spans="1:11">
      <c r="A573">
        <v>20724</v>
      </c>
      <c r="B573" t="s">
        <v>1104</v>
      </c>
      <c r="C573" t="s">
        <v>620</v>
      </c>
      <c r="E573" t="s">
        <v>200</v>
      </c>
      <c r="F573">
        <v>19</v>
      </c>
      <c r="G573">
        <v>1956</v>
      </c>
      <c r="H573">
        <v>549</v>
      </c>
      <c r="I573">
        <v>0.5</v>
      </c>
      <c r="J573">
        <v>36.83</v>
      </c>
      <c r="K573">
        <v>18</v>
      </c>
    </row>
    <row r="574" spans="1:11">
      <c r="A574">
        <v>24530</v>
      </c>
      <c r="B574" t="s">
        <v>1650</v>
      </c>
      <c r="C574" t="s">
        <v>647</v>
      </c>
      <c r="E574" t="s">
        <v>1583</v>
      </c>
      <c r="F574">
        <v>101</v>
      </c>
      <c r="G574">
        <v>1995</v>
      </c>
      <c r="H574">
        <v>726</v>
      </c>
      <c r="I574">
        <v>0</v>
      </c>
      <c r="J574">
        <v>0</v>
      </c>
      <c r="K574">
        <v>0</v>
      </c>
    </row>
    <row r="575" spans="1:11">
      <c r="A575">
        <v>24531</v>
      </c>
      <c r="B575" t="s">
        <v>1651</v>
      </c>
      <c r="C575" t="s">
        <v>633</v>
      </c>
      <c r="D575" t="s">
        <v>107</v>
      </c>
      <c r="E575" t="s">
        <v>1583</v>
      </c>
      <c r="F575">
        <v>101</v>
      </c>
      <c r="G575">
        <v>1998</v>
      </c>
      <c r="H575">
        <v>727</v>
      </c>
      <c r="I575">
        <v>0</v>
      </c>
      <c r="J575">
        <v>0</v>
      </c>
      <c r="K575">
        <v>0</v>
      </c>
    </row>
    <row r="576" spans="1:11">
      <c r="A576">
        <v>17008</v>
      </c>
      <c r="B576" t="s">
        <v>1105</v>
      </c>
      <c r="C576" t="s">
        <v>1106</v>
      </c>
      <c r="D576" t="s">
        <v>107</v>
      </c>
      <c r="E576" t="s">
        <v>778</v>
      </c>
      <c r="F576">
        <v>85</v>
      </c>
      <c r="G576">
        <v>1952</v>
      </c>
      <c r="H576">
        <v>728</v>
      </c>
      <c r="I576">
        <v>0</v>
      </c>
      <c r="J576">
        <v>0</v>
      </c>
      <c r="K576">
        <v>0</v>
      </c>
    </row>
    <row r="577" spans="1:11">
      <c r="A577">
        <v>13046</v>
      </c>
      <c r="B577" t="s">
        <v>1107</v>
      </c>
      <c r="C577" t="s">
        <v>609</v>
      </c>
      <c r="E577" t="s">
        <v>507</v>
      </c>
      <c r="F577">
        <v>20</v>
      </c>
      <c r="G577">
        <v>1941</v>
      </c>
      <c r="H577">
        <v>498</v>
      </c>
      <c r="I577">
        <v>2.0630000000000002</v>
      </c>
      <c r="J577">
        <v>92.945999999999998</v>
      </c>
      <c r="K577">
        <v>0</v>
      </c>
    </row>
    <row r="578" spans="1:11">
      <c r="A578">
        <v>19073</v>
      </c>
      <c r="B578" t="s">
        <v>1108</v>
      </c>
      <c r="C578" t="s">
        <v>557</v>
      </c>
      <c r="D578" t="s">
        <v>91</v>
      </c>
      <c r="E578" t="s">
        <v>505</v>
      </c>
      <c r="F578">
        <v>89</v>
      </c>
      <c r="G578">
        <v>2009</v>
      </c>
      <c r="H578">
        <v>485</v>
      </c>
      <c r="I578">
        <v>1.9059999999999999</v>
      </c>
      <c r="J578">
        <v>105.521</v>
      </c>
      <c r="K578">
        <v>20</v>
      </c>
    </row>
    <row r="579" spans="1:11">
      <c r="A579">
        <v>19074</v>
      </c>
      <c r="B579" t="s">
        <v>1108</v>
      </c>
      <c r="C579" t="s">
        <v>582</v>
      </c>
      <c r="E579" t="s">
        <v>505</v>
      </c>
      <c r="F579">
        <v>89</v>
      </c>
      <c r="G579">
        <v>1965</v>
      </c>
      <c r="H579">
        <v>439</v>
      </c>
      <c r="I579">
        <v>3.6560000000000001</v>
      </c>
      <c r="J579">
        <v>159.85900000000001</v>
      </c>
      <c r="K579">
        <v>20</v>
      </c>
    </row>
    <row r="580" spans="1:11">
      <c r="A580">
        <v>20539</v>
      </c>
      <c r="B580" t="s">
        <v>1109</v>
      </c>
      <c r="C580" t="s">
        <v>559</v>
      </c>
      <c r="E580" t="s">
        <v>792</v>
      </c>
      <c r="F580">
        <v>93</v>
      </c>
      <c r="G580">
        <v>1985</v>
      </c>
      <c r="H580">
        <v>288</v>
      </c>
      <c r="I580">
        <v>9.657</v>
      </c>
      <c r="J580">
        <v>506.00099999999998</v>
      </c>
      <c r="K580">
        <v>196</v>
      </c>
    </row>
    <row r="581" spans="1:11">
      <c r="A581">
        <v>23210</v>
      </c>
      <c r="B581" t="s">
        <v>1110</v>
      </c>
      <c r="C581" t="s">
        <v>793</v>
      </c>
      <c r="D581" t="s">
        <v>107</v>
      </c>
      <c r="E581" t="s">
        <v>792</v>
      </c>
      <c r="F581">
        <v>93</v>
      </c>
      <c r="G581">
        <v>1993</v>
      </c>
      <c r="H581">
        <v>513</v>
      </c>
      <c r="I581">
        <v>3.5</v>
      </c>
      <c r="J581">
        <v>77.248999999999995</v>
      </c>
      <c r="K581">
        <v>0</v>
      </c>
    </row>
    <row r="582" spans="1:11">
      <c r="A582">
        <v>96041</v>
      </c>
      <c r="B582" t="s">
        <v>1111</v>
      </c>
      <c r="C582" t="s">
        <v>586</v>
      </c>
      <c r="D582" t="s">
        <v>107</v>
      </c>
      <c r="E582" t="s">
        <v>513</v>
      </c>
      <c r="F582">
        <v>1</v>
      </c>
      <c r="G582">
        <v>1955</v>
      </c>
      <c r="H582">
        <v>729</v>
      </c>
      <c r="I582">
        <v>0</v>
      </c>
      <c r="J582">
        <v>0</v>
      </c>
      <c r="K582">
        <v>0</v>
      </c>
    </row>
    <row r="583" spans="1:11">
      <c r="A583">
        <v>20536</v>
      </c>
      <c r="B583" t="s">
        <v>1112</v>
      </c>
      <c r="C583" t="s">
        <v>705</v>
      </c>
      <c r="D583" t="s">
        <v>107</v>
      </c>
      <c r="E583" t="s">
        <v>637</v>
      </c>
      <c r="F583">
        <v>92</v>
      </c>
      <c r="G583">
        <v>1990</v>
      </c>
      <c r="H583">
        <v>240</v>
      </c>
      <c r="I583">
        <v>13.627000000000001</v>
      </c>
      <c r="J583">
        <v>719.15899999999999</v>
      </c>
      <c r="K583">
        <v>182</v>
      </c>
    </row>
    <row r="584" spans="1:11">
      <c r="A584">
        <v>17090</v>
      </c>
      <c r="B584" t="s">
        <v>1112</v>
      </c>
      <c r="C584" t="s">
        <v>572</v>
      </c>
      <c r="D584" t="s">
        <v>107</v>
      </c>
      <c r="E584" t="s">
        <v>637</v>
      </c>
      <c r="F584">
        <v>92</v>
      </c>
      <c r="G584">
        <v>1959</v>
      </c>
      <c r="H584">
        <v>126</v>
      </c>
      <c r="I584">
        <v>21.751000000000001</v>
      </c>
      <c r="J584">
        <v>1446.7529999999999</v>
      </c>
      <c r="K584">
        <v>685</v>
      </c>
    </row>
    <row r="585" spans="1:11">
      <c r="A585">
        <v>21021</v>
      </c>
      <c r="B585" t="s">
        <v>1652</v>
      </c>
      <c r="C585" t="s">
        <v>1653</v>
      </c>
      <c r="D585" t="s">
        <v>657</v>
      </c>
      <c r="E585" t="s">
        <v>678</v>
      </c>
      <c r="F585">
        <v>54</v>
      </c>
      <c r="G585">
        <v>2009</v>
      </c>
      <c r="H585">
        <v>118</v>
      </c>
      <c r="I585">
        <v>23.282</v>
      </c>
      <c r="J585">
        <v>1561.818</v>
      </c>
      <c r="K585">
        <v>607</v>
      </c>
    </row>
    <row r="586" spans="1:11">
      <c r="A586">
        <v>22100</v>
      </c>
      <c r="B586" t="s">
        <v>1654</v>
      </c>
      <c r="C586" t="s">
        <v>1655</v>
      </c>
      <c r="D586" t="s">
        <v>107</v>
      </c>
      <c r="E586" t="s">
        <v>513</v>
      </c>
      <c r="F586">
        <v>1</v>
      </c>
      <c r="G586">
        <v>1991</v>
      </c>
      <c r="H586">
        <v>23</v>
      </c>
      <c r="I586">
        <v>42.5</v>
      </c>
      <c r="J586">
        <v>3055.328</v>
      </c>
      <c r="K586">
        <v>1441</v>
      </c>
    </row>
    <row r="587" spans="1:11">
      <c r="A587">
        <v>15084</v>
      </c>
      <c r="B587" t="s">
        <v>1113</v>
      </c>
      <c r="C587" t="s">
        <v>602</v>
      </c>
      <c r="E587" t="s">
        <v>592</v>
      </c>
      <c r="F587">
        <v>2</v>
      </c>
      <c r="G587">
        <v>1965</v>
      </c>
      <c r="H587">
        <v>361</v>
      </c>
      <c r="I587">
        <v>8.2189999999999994</v>
      </c>
      <c r="J587">
        <v>286.67200000000003</v>
      </c>
      <c r="K587">
        <v>45</v>
      </c>
    </row>
    <row r="588" spans="1:11">
      <c r="A588">
        <v>18130</v>
      </c>
      <c r="B588" t="s">
        <v>1114</v>
      </c>
      <c r="C588" t="s">
        <v>598</v>
      </c>
      <c r="E588" t="s">
        <v>637</v>
      </c>
      <c r="F588">
        <v>92</v>
      </c>
      <c r="G588">
        <v>1963</v>
      </c>
      <c r="H588">
        <v>127</v>
      </c>
      <c r="I588">
        <v>22.126000000000001</v>
      </c>
      <c r="J588">
        <v>1446.7529999999999</v>
      </c>
      <c r="K588">
        <v>685</v>
      </c>
    </row>
    <row r="589" spans="1:11">
      <c r="A589">
        <v>21007</v>
      </c>
      <c r="B589" t="s">
        <v>1656</v>
      </c>
      <c r="C589" t="s">
        <v>793</v>
      </c>
      <c r="D589" t="s">
        <v>107</v>
      </c>
      <c r="E589" t="s">
        <v>768</v>
      </c>
      <c r="F589">
        <v>45</v>
      </c>
      <c r="G589">
        <v>1978</v>
      </c>
      <c r="H589">
        <v>235</v>
      </c>
      <c r="I589">
        <v>17.564</v>
      </c>
      <c r="J589">
        <v>735.20299999999997</v>
      </c>
      <c r="K589">
        <v>194</v>
      </c>
    </row>
    <row r="590" spans="1:11">
      <c r="A590">
        <v>15056</v>
      </c>
      <c r="B590" t="s">
        <v>1115</v>
      </c>
      <c r="C590" t="s">
        <v>601</v>
      </c>
      <c r="D590" t="s">
        <v>107</v>
      </c>
      <c r="E590" t="s">
        <v>513</v>
      </c>
      <c r="F590">
        <v>1</v>
      </c>
      <c r="G590">
        <v>2002</v>
      </c>
      <c r="H590">
        <v>446</v>
      </c>
      <c r="I590">
        <v>3.6560000000000001</v>
      </c>
      <c r="J590">
        <v>151.578</v>
      </c>
      <c r="K590">
        <v>0</v>
      </c>
    </row>
    <row r="591" spans="1:11">
      <c r="A591">
        <v>22154</v>
      </c>
      <c r="B591" t="s">
        <v>1657</v>
      </c>
      <c r="C591" t="s">
        <v>907</v>
      </c>
      <c r="D591" t="s">
        <v>107</v>
      </c>
      <c r="E591" t="s">
        <v>666</v>
      </c>
      <c r="F591">
        <v>87</v>
      </c>
      <c r="G591">
        <v>1957</v>
      </c>
      <c r="H591">
        <v>186</v>
      </c>
      <c r="I591">
        <v>15.095000000000001</v>
      </c>
      <c r="J591">
        <v>1027.7339999999999</v>
      </c>
      <c r="K591">
        <v>366</v>
      </c>
    </row>
    <row r="592" spans="1:11">
      <c r="A592">
        <v>14098</v>
      </c>
      <c r="B592" t="s">
        <v>1116</v>
      </c>
      <c r="C592" t="s">
        <v>582</v>
      </c>
      <c r="E592" t="s">
        <v>164</v>
      </c>
      <c r="F592">
        <v>52</v>
      </c>
      <c r="G592">
        <v>1980</v>
      </c>
      <c r="H592">
        <v>228</v>
      </c>
      <c r="I592">
        <v>14.407</v>
      </c>
      <c r="J592">
        <v>761.59400000000005</v>
      </c>
      <c r="K592">
        <v>165</v>
      </c>
    </row>
    <row r="593" spans="1:11">
      <c r="A593">
        <v>15009</v>
      </c>
      <c r="B593" t="s">
        <v>1117</v>
      </c>
      <c r="C593" t="s">
        <v>552</v>
      </c>
      <c r="E593" t="s">
        <v>650</v>
      </c>
      <c r="F593">
        <v>15</v>
      </c>
      <c r="G593">
        <v>1995</v>
      </c>
      <c r="H593">
        <v>123</v>
      </c>
      <c r="I593">
        <v>27.719000000000001</v>
      </c>
      <c r="J593">
        <v>1512.4179999999999</v>
      </c>
      <c r="K593">
        <v>414</v>
      </c>
    </row>
    <row r="594" spans="1:11">
      <c r="A594">
        <v>15008</v>
      </c>
      <c r="B594" t="s">
        <v>1117</v>
      </c>
      <c r="C594" t="s">
        <v>1024</v>
      </c>
      <c r="E594" t="s">
        <v>650</v>
      </c>
      <c r="F594">
        <v>15</v>
      </c>
      <c r="G594">
        <v>1995</v>
      </c>
      <c r="H594">
        <v>62</v>
      </c>
      <c r="I594">
        <v>33.688000000000002</v>
      </c>
      <c r="J594">
        <v>2127.9969999999998</v>
      </c>
      <c r="K594">
        <v>722</v>
      </c>
    </row>
    <row r="595" spans="1:11">
      <c r="A595">
        <v>20618</v>
      </c>
      <c r="B595" t="s">
        <v>1658</v>
      </c>
      <c r="C595" t="s">
        <v>789</v>
      </c>
      <c r="D595" t="s">
        <v>91</v>
      </c>
      <c r="E595" t="s">
        <v>597</v>
      </c>
      <c r="F595">
        <v>95</v>
      </c>
      <c r="G595">
        <v>2009</v>
      </c>
      <c r="H595">
        <v>548</v>
      </c>
      <c r="I595">
        <v>0.90600000000000003</v>
      </c>
      <c r="J595">
        <v>36.987000000000002</v>
      </c>
      <c r="K595">
        <v>0</v>
      </c>
    </row>
    <row r="596" spans="1:11">
      <c r="A596">
        <v>26001</v>
      </c>
      <c r="B596" t="s">
        <v>1118</v>
      </c>
      <c r="C596" t="s">
        <v>656</v>
      </c>
      <c r="D596" t="s">
        <v>107</v>
      </c>
      <c r="E596" t="s">
        <v>198</v>
      </c>
      <c r="F596">
        <v>17</v>
      </c>
      <c r="G596">
        <v>1997</v>
      </c>
      <c r="H596">
        <v>730</v>
      </c>
      <c r="I596">
        <v>0</v>
      </c>
      <c r="J596">
        <v>0</v>
      </c>
      <c r="K596">
        <v>0</v>
      </c>
    </row>
    <row r="597" spans="1:11">
      <c r="A597">
        <v>23222</v>
      </c>
      <c r="B597" t="s">
        <v>1659</v>
      </c>
      <c r="C597" t="s">
        <v>726</v>
      </c>
      <c r="E597" t="s">
        <v>666</v>
      </c>
      <c r="F597">
        <v>87</v>
      </c>
      <c r="G597">
        <v>1950</v>
      </c>
      <c r="H597">
        <v>305</v>
      </c>
      <c r="I597">
        <v>10.72</v>
      </c>
      <c r="J597">
        <v>439.59199999999998</v>
      </c>
      <c r="K597">
        <v>27</v>
      </c>
    </row>
    <row r="598" spans="1:11">
      <c r="A598">
        <v>13041</v>
      </c>
      <c r="B598" t="s">
        <v>1120</v>
      </c>
      <c r="C598" t="s">
        <v>556</v>
      </c>
      <c r="D598" t="s">
        <v>107</v>
      </c>
      <c r="E598" t="s">
        <v>513</v>
      </c>
      <c r="F598">
        <v>1</v>
      </c>
      <c r="G598">
        <v>1959</v>
      </c>
      <c r="H598">
        <v>82</v>
      </c>
      <c r="I598">
        <v>32.375</v>
      </c>
      <c r="J598">
        <v>1960.0889999999999</v>
      </c>
      <c r="K598">
        <v>623</v>
      </c>
    </row>
    <row r="599" spans="1:11">
      <c r="A599">
        <v>22170</v>
      </c>
      <c r="B599" t="s">
        <v>1660</v>
      </c>
      <c r="C599" t="s">
        <v>626</v>
      </c>
      <c r="E599" t="s">
        <v>553</v>
      </c>
      <c r="F599">
        <v>79</v>
      </c>
      <c r="G599">
        <v>1983</v>
      </c>
      <c r="H599">
        <v>523</v>
      </c>
      <c r="I599">
        <v>1.625</v>
      </c>
      <c r="J599">
        <v>64.105000000000004</v>
      </c>
      <c r="K599">
        <v>0</v>
      </c>
    </row>
    <row r="600" spans="1:11">
      <c r="A600">
        <v>21017</v>
      </c>
      <c r="B600" t="s">
        <v>1121</v>
      </c>
      <c r="C600" t="s">
        <v>1041</v>
      </c>
      <c r="E600" t="s">
        <v>584</v>
      </c>
      <c r="F600">
        <v>69</v>
      </c>
      <c r="G600">
        <v>2006</v>
      </c>
      <c r="H600">
        <v>311</v>
      </c>
      <c r="I600">
        <v>6.0330000000000004</v>
      </c>
      <c r="J600">
        <v>415.59199999999998</v>
      </c>
      <c r="K600">
        <v>206</v>
      </c>
    </row>
    <row r="601" spans="1:11">
      <c r="A601">
        <v>16145</v>
      </c>
      <c r="B601" t="s">
        <v>1121</v>
      </c>
      <c r="C601" t="s">
        <v>559</v>
      </c>
      <c r="E601" t="s">
        <v>584</v>
      </c>
      <c r="F601">
        <v>69</v>
      </c>
      <c r="G601">
        <v>1981</v>
      </c>
      <c r="H601">
        <v>315</v>
      </c>
      <c r="I601">
        <v>9.4380000000000006</v>
      </c>
      <c r="J601">
        <v>405.09399999999999</v>
      </c>
      <c r="K601">
        <v>170</v>
      </c>
    </row>
    <row r="602" spans="1:11">
      <c r="A602">
        <v>21005</v>
      </c>
      <c r="B602" t="s">
        <v>1123</v>
      </c>
      <c r="C602" t="s">
        <v>1661</v>
      </c>
      <c r="E602" t="s">
        <v>606</v>
      </c>
      <c r="F602">
        <v>21</v>
      </c>
      <c r="G602">
        <v>1965</v>
      </c>
      <c r="H602">
        <v>555</v>
      </c>
      <c r="I602">
        <v>1.375</v>
      </c>
      <c r="J602">
        <v>35.204000000000001</v>
      </c>
      <c r="K602">
        <v>0</v>
      </c>
    </row>
    <row r="603" spans="1:11">
      <c r="A603">
        <v>12049</v>
      </c>
      <c r="B603" t="s">
        <v>1125</v>
      </c>
      <c r="C603" t="s">
        <v>577</v>
      </c>
      <c r="E603" t="s">
        <v>170</v>
      </c>
      <c r="F603">
        <v>14</v>
      </c>
      <c r="G603">
        <v>1982</v>
      </c>
      <c r="H603">
        <v>282</v>
      </c>
      <c r="I603">
        <v>9.657</v>
      </c>
      <c r="J603">
        <v>563.66999999999996</v>
      </c>
      <c r="K603">
        <v>146</v>
      </c>
    </row>
    <row r="604" spans="1:11">
      <c r="A604">
        <v>19053</v>
      </c>
      <c r="B604" t="s">
        <v>1127</v>
      </c>
      <c r="C604" t="s">
        <v>602</v>
      </c>
      <c r="E604" t="s">
        <v>505</v>
      </c>
      <c r="F604">
        <v>89</v>
      </c>
      <c r="G604">
        <v>1967</v>
      </c>
      <c r="H604">
        <v>497</v>
      </c>
      <c r="I604">
        <v>2.875</v>
      </c>
      <c r="J604">
        <v>94.296999999999997</v>
      </c>
      <c r="K604">
        <v>0</v>
      </c>
    </row>
    <row r="605" spans="1:11">
      <c r="A605">
        <v>27051</v>
      </c>
      <c r="B605" t="s">
        <v>1128</v>
      </c>
      <c r="C605" t="s">
        <v>633</v>
      </c>
      <c r="D605" t="s">
        <v>107</v>
      </c>
      <c r="E605" t="s">
        <v>513</v>
      </c>
      <c r="F605">
        <v>1</v>
      </c>
      <c r="G605">
        <v>1953</v>
      </c>
      <c r="H605">
        <v>374</v>
      </c>
      <c r="I605">
        <v>7.2830000000000004</v>
      </c>
      <c r="J605">
        <v>271.505</v>
      </c>
      <c r="K605">
        <v>0</v>
      </c>
    </row>
    <row r="606" spans="1:11">
      <c r="A606">
        <v>15055</v>
      </c>
      <c r="B606" t="s">
        <v>1129</v>
      </c>
      <c r="C606" t="s">
        <v>670</v>
      </c>
      <c r="E606" t="s">
        <v>513</v>
      </c>
      <c r="F606">
        <v>1</v>
      </c>
      <c r="G606">
        <v>2005</v>
      </c>
      <c r="H606">
        <v>54</v>
      </c>
      <c r="I606">
        <v>23.562999999999999</v>
      </c>
      <c r="J606">
        <v>2247.7370000000001</v>
      </c>
      <c r="K606">
        <v>1124</v>
      </c>
    </row>
    <row r="607" spans="1:11">
      <c r="A607">
        <v>27015</v>
      </c>
      <c r="B607" t="s">
        <v>1129</v>
      </c>
      <c r="C607" t="s">
        <v>550</v>
      </c>
      <c r="E607" t="s">
        <v>513</v>
      </c>
      <c r="F607">
        <v>1</v>
      </c>
      <c r="G607">
        <v>1997</v>
      </c>
      <c r="H607">
        <v>26</v>
      </c>
      <c r="I607">
        <v>45.75</v>
      </c>
      <c r="J607">
        <v>2937.0349999999999</v>
      </c>
      <c r="K607">
        <v>1050</v>
      </c>
    </row>
    <row r="608" spans="1:11">
      <c r="A608">
        <v>22182</v>
      </c>
      <c r="B608" t="s">
        <v>1662</v>
      </c>
      <c r="C608" t="s">
        <v>927</v>
      </c>
      <c r="D608" t="s">
        <v>107</v>
      </c>
      <c r="E608" t="s">
        <v>1509</v>
      </c>
      <c r="F608">
        <v>100</v>
      </c>
      <c r="G608">
        <v>1973</v>
      </c>
      <c r="H608">
        <v>137</v>
      </c>
      <c r="I608">
        <v>20.533000000000001</v>
      </c>
      <c r="J608">
        <v>1347.058</v>
      </c>
      <c r="K608">
        <v>557</v>
      </c>
    </row>
    <row r="609" spans="1:11">
      <c r="A609">
        <v>16053</v>
      </c>
      <c r="B609" t="s">
        <v>1131</v>
      </c>
      <c r="C609" t="s">
        <v>582</v>
      </c>
      <c r="E609" t="s">
        <v>751</v>
      </c>
      <c r="F609">
        <v>82</v>
      </c>
      <c r="G609">
        <v>1967</v>
      </c>
      <c r="H609">
        <v>198</v>
      </c>
      <c r="I609">
        <v>19.907</v>
      </c>
      <c r="J609">
        <v>949.23500000000001</v>
      </c>
      <c r="K609">
        <v>204</v>
      </c>
    </row>
    <row r="610" spans="1:11">
      <c r="A610">
        <v>23246</v>
      </c>
      <c r="B610" t="s">
        <v>1663</v>
      </c>
      <c r="C610" t="s">
        <v>582</v>
      </c>
      <c r="E610" t="s">
        <v>553</v>
      </c>
      <c r="F610">
        <v>79</v>
      </c>
      <c r="G610">
        <v>1985</v>
      </c>
      <c r="H610">
        <v>505</v>
      </c>
      <c r="I610">
        <v>0.81299999999999994</v>
      </c>
      <c r="J610">
        <v>83.716999999999999</v>
      </c>
      <c r="K610">
        <v>44</v>
      </c>
    </row>
    <row r="611" spans="1:11">
      <c r="A611">
        <v>96095</v>
      </c>
      <c r="B611" t="s">
        <v>1134</v>
      </c>
      <c r="C611" t="s">
        <v>726</v>
      </c>
      <c r="E611" t="s">
        <v>573</v>
      </c>
      <c r="F611">
        <v>16</v>
      </c>
      <c r="G611">
        <v>1968</v>
      </c>
      <c r="H611">
        <v>731</v>
      </c>
      <c r="I611">
        <v>0</v>
      </c>
      <c r="J611">
        <v>0</v>
      </c>
      <c r="K611">
        <v>0</v>
      </c>
    </row>
    <row r="612" spans="1:11">
      <c r="A612">
        <v>14055</v>
      </c>
      <c r="B612" t="s">
        <v>1134</v>
      </c>
      <c r="C612" t="s">
        <v>582</v>
      </c>
      <c r="E612" t="s">
        <v>747</v>
      </c>
      <c r="F612">
        <v>68</v>
      </c>
      <c r="G612">
        <v>1956</v>
      </c>
      <c r="H612">
        <v>200</v>
      </c>
      <c r="I612">
        <v>17.594999999999999</v>
      </c>
      <c r="J612">
        <v>941.64300000000003</v>
      </c>
      <c r="K612">
        <v>236</v>
      </c>
    </row>
    <row r="613" spans="1:11">
      <c r="A613">
        <v>16117</v>
      </c>
      <c r="B613" t="s">
        <v>1134</v>
      </c>
      <c r="C613" t="s">
        <v>707</v>
      </c>
      <c r="E613" t="s">
        <v>747</v>
      </c>
      <c r="F613">
        <v>68</v>
      </c>
      <c r="G613">
        <v>1955</v>
      </c>
      <c r="H613">
        <v>88</v>
      </c>
      <c r="I613">
        <v>33.75</v>
      </c>
      <c r="J613">
        <v>1899.971</v>
      </c>
      <c r="K613">
        <v>801</v>
      </c>
    </row>
    <row r="614" spans="1:11">
      <c r="A614">
        <v>10092</v>
      </c>
      <c r="B614" t="s">
        <v>1135</v>
      </c>
      <c r="C614" t="s">
        <v>1062</v>
      </c>
      <c r="D614" t="s">
        <v>107</v>
      </c>
      <c r="E614" t="s">
        <v>584</v>
      </c>
      <c r="F614">
        <v>69</v>
      </c>
      <c r="G614">
        <v>1957</v>
      </c>
      <c r="H614">
        <v>732</v>
      </c>
      <c r="I614">
        <v>0</v>
      </c>
      <c r="J614">
        <v>0</v>
      </c>
      <c r="K614">
        <v>0</v>
      </c>
    </row>
    <row r="615" spans="1:11">
      <c r="A615">
        <v>11051</v>
      </c>
      <c r="B615" t="s">
        <v>1136</v>
      </c>
      <c r="C615" t="s">
        <v>602</v>
      </c>
      <c r="E615" t="s">
        <v>155</v>
      </c>
      <c r="F615">
        <v>22</v>
      </c>
      <c r="G615">
        <v>1970</v>
      </c>
      <c r="H615">
        <v>733</v>
      </c>
      <c r="I615">
        <v>0</v>
      </c>
      <c r="J615">
        <v>0</v>
      </c>
      <c r="K615">
        <v>0</v>
      </c>
    </row>
    <row r="616" spans="1:11">
      <c r="A616">
        <v>96152</v>
      </c>
      <c r="B616" t="s">
        <v>1137</v>
      </c>
      <c r="C616" t="s">
        <v>569</v>
      </c>
      <c r="E616" t="s">
        <v>573</v>
      </c>
      <c r="F616">
        <v>16</v>
      </c>
      <c r="G616">
        <v>1987</v>
      </c>
      <c r="H616">
        <v>274</v>
      </c>
      <c r="I616">
        <v>15</v>
      </c>
      <c r="J616">
        <v>578.60500000000002</v>
      </c>
      <c r="K616">
        <v>0</v>
      </c>
    </row>
    <row r="617" spans="1:11">
      <c r="A617">
        <v>24523</v>
      </c>
      <c r="B617" t="s">
        <v>1664</v>
      </c>
      <c r="C617" t="s">
        <v>554</v>
      </c>
      <c r="D617" t="s">
        <v>91</v>
      </c>
      <c r="E617" t="s">
        <v>513</v>
      </c>
      <c r="F617">
        <v>1</v>
      </c>
      <c r="G617">
        <v>2013</v>
      </c>
      <c r="H617">
        <v>734</v>
      </c>
      <c r="I617">
        <v>0</v>
      </c>
      <c r="J617">
        <v>0</v>
      </c>
      <c r="K617">
        <v>0</v>
      </c>
    </row>
    <row r="618" spans="1:11">
      <c r="A618">
        <v>24524</v>
      </c>
      <c r="B618" t="s">
        <v>1664</v>
      </c>
      <c r="C618" t="s">
        <v>647</v>
      </c>
      <c r="D618" t="s">
        <v>91</v>
      </c>
      <c r="E618" t="s">
        <v>513</v>
      </c>
      <c r="F618">
        <v>1</v>
      </c>
      <c r="G618">
        <v>2012</v>
      </c>
      <c r="H618">
        <v>735</v>
      </c>
      <c r="I618">
        <v>0</v>
      </c>
      <c r="J618">
        <v>0</v>
      </c>
      <c r="K618">
        <v>0</v>
      </c>
    </row>
    <row r="619" spans="1:11">
      <c r="A619">
        <v>24525</v>
      </c>
      <c r="B619" t="s">
        <v>1664</v>
      </c>
      <c r="C619" t="s">
        <v>552</v>
      </c>
      <c r="D619" t="s">
        <v>91</v>
      </c>
      <c r="E619" t="s">
        <v>513</v>
      </c>
      <c r="F619">
        <v>1</v>
      </c>
      <c r="G619">
        <v>2014</v>
      </c>
      <c r="H619">
        <v>736</v>
      </c>
      <c r="I619">
        <v>0</v>
      </c>
      <c r="J619">
        <v>0</v>
      </c>
      <c r="K619">
        <v>0</v>
      </c>
    </row>
    <row r="620" spans="1:11">
      <c r="A620">
        <v>24548</v>
      </c>
      <c r="B620" t="s">
        <v>1139</v>
      </c>
      <c r="C620" t="s">
        <v>710</v>
      </c>
      <c r="D620" t="s">
        <v>657</v>
      </c>
      <c r="E620" t="s">
        <v>513</v>
      </c>
      <c r="F620">
        <v>1</v>
      </c>
      <c r="G620">
        <v>2013</v>
      </c>
      <c r="H620">
        <v>737</v>
      </c>
      <c r="I620">
        <v>0</v>
      </c>
      <c r="J620">
        <v>0</v>
      </c>
      <c r="K620">
        <v>0</v>
      </c>
    </row>
    <row r="621" spans="1:11">
      <c r="A621">
        <v>24549</v>
      </c>
      <c r="B621" t="s">
        <v>1139</v>
      </c>
      <c r="C621" t="s">
        <v>1665</v>
      </c>
      <c r="D621" t="s">
        <v>657</v>
      </c>
      <c r="E621" t="s">
        <v>513</v>
      </c>
      <c r="F621">
        <v>1</v>
      </c>
      <c r="G621">
        <v>2015</v>
      </c>
      <c r="H621">
        <v>738</v>
      </c>
      <c r="I621">
        <v>0</v>
      </c>
      <c r="J621">
        <v>0</v>
      </c>
      <c r="K621">
        <v>0</v>
      </c>
    </row>
    <row r="622" spans="1:11">
      <c r="A622">
        <v>18098</v>
      </c>
      <c r="B622" t="s">
        <v>1140</v>
      </c>
      <c r="C622" t="s">
        <v>583</v>
      </c>
      <c r="E622" t="s">
        <v>592</v>
      </c>
      <c r="F622">
        <v>2</v>
      </c>
      <c r="G622">
        <v>1978</v>
      </c>
      <c r="H622">
        <v>270</v>
      </c>
      <c r="I622">
        <v>14.031000000000001</v>
      </c>
      <c r="J622">
        <v>582.09500000000003</v>
      </c>
      <c r="K622">
        <v>70</v>
      </c>
    </row>
    <row r="623" spans="1:11">
      <c r="A623">
        <v>16132</v>
      </c>
      <c r="B623" t="s">
        <v>1141</v>
      </c>
      <c r="C623" t="s">
        <v>807</v>
      </c>
      <c r="D623" t="s">
        <v>657</v>
      </c>
      <c r="E623" t="s">
        <v>592</v>
      </c>
      <c r="F623">
        <v>2</v>
      </c>
      <c r="G623">
        <v>2008</v>
      </c>
      <c r="H623">
        <v>296</v>
      </c>
      <c r="I623">
        <v>7.4059999999999997</v>
      </c>
      <c r="J623">
        <v>470.63400000000001</v>
      </c>
      <c r="K623">
        <v>161</v>
      </c>
    </row>
    <row r="624" spans="1:11">
      <c r="A624">
        <v>16133</v>
      </c>
      <c r="B624" t="s">
        <v>1141</v>
      </c>
      <c r="C624" t="s">
        <v>1142</v>
      </c>
      <c r="D624" t="s">
        <v>107</v>
      </c>
      <c r="E624" t="s">
        <v>592</v>
      </c>
      <c r="F624">
        <v>2</v>
      </c>
      <c r="G624">
        <v>2005</v>
      </c>
      <c r="H624">
        <v>108</v>
      </c>
      <c r="I624">
        <v>27.314</v>
      </c>
      <c r="J624">
        <v>1636.914</v>
      </c>
      <c r="K624">
        <v>543</v>
      </c>
    </row>
    <row r="625" spans="1:11">
      <c r="A625">
        <v>24528</v>
      </c>
      <c r="B625" t="s">
        <v>1666</v>
      </c>
      <c r="C625" t="s">
        <v>626</v>
      </c>
      <c r="E625" t="s">
        <v>170</v>
      </c>
      <c r="F625">
        <v>14</v>
      </c>
      <c r="G625">
        <v>1964</v>
      </c>
      <c r="H625">
        <v>367</v>
      </c>
      <c r="I625">
        <v>4.782</v>
      </c>
      <c r="J625">
        <v>280.202</v>
      </c>
      <c r="K625">
        <v>78</v>
      </c>
    </row>
    <row r="626" spans="1:11">
      <c r="A626">
        <v>28047</v>
      </c>
      <c r="B626" t="s">
        <v>1144</v>
      </c>
      <c r="C626" t="s">
        <v>1145</v>
      </c>
      <c r="E626" t="s">
        <v>678</v>
      </c>
      <c r="F626">
        <v>54</v>
      </c>
      <c r="G626">
        <v>1962</v>
      </c>
      <c r="H626">
        <v>360</v>
      </c>
      <c r="I626">
        <v>6.9059999999999997</v>
      </c>
      <c r="J626">
        <v>287.77199999999999</v>
      </c>
      <c r="K626">
        <v>29</v>
      </c>
    </row>
    <row r="627" spans="1:11">
      <c r="A627">
        <v>23243</v>
      </c>
      <c r="B627" t="s">
        <v>1667</v>
      </c>
      <c r="C627" t="s">
        <v>569</v>
      </c>
      <c r="E627" t="s">
        <v>164</v>
      </c>
      <c r="F627">
        <v>52</v>
      </c>
      <c r="G627">
        <v>1998</v>
      </c>
      <c r="H627">
        <v>263</v>
      </c>
      <c r="I627">
        <v>10.72</v>
      </c>
      <c r="J627">
        <v>601.25</v>
      </c>
      <c r="K627">
        <v>133</v>
      </c>
    </row>
    <row r="628" spans="1:11">
      <c r="A628">
        <v>11013</v>
      </c>
      <c r="B628" t="s">
        <v>1147</v>
      </c>
      <c r="C628" t="s">
        <v>594</v>
      </c>
      <c r="D628" t="s">
        <v>107</v>
      </c>
      <c r="E628" t="s">
        <v>765</v>
      </c>
      <c r="F628">
        <v>56</v>
      </c>
      <c r="G628">
        <v>1948</v>
      </c>
      <c r="H628">
        <v>484</v>
      </c>
      <c r="I628">
        <v>3.25</v>
      </c>
      <c r="J628">
        <v>105.708</v>
      </c>
      <c r="K628">
        <v>0</v>
      </c>
    </row>
    <row r="629" spans="1:11">
      <c r="A629">
        <v>12064</v>
      </c>
      <c r="B629" t="s">
        <v>1148</v>
      </c>
      <c r="C629" t="s">
        <v>602</v>
      </c>
      <c r="E629" t="s">
        <v>729</v>
      </c>
      <c r="F629">
        <v>74</v>
      </c>
      <c r="G629">
        <v>1981</v>
      </c>
      <c r="H629">
        <v>579</v>
      </c>
      <c r="I629">
        <v>0.5</v>
      </c>
      <c r="J629">
        <v>17.994</v>
      </c>
      <c r="K629">
        <v>0</v>
      </c>
    </row>
    <row r="630" spans="1:11">
      <c r="A630">
        <v>22115</v>
      </c>
      <c r="B630" t="s">
        <v>1148</v>
      </c>
      <c r="C630" t="s">
        <v>862</v>
      </c>
      <c r="D630" t="s">
        <v>91</v>
      </c>
      <c r="E630" t="s">
        <v>729</v>
      </c>
      <c r="F630">
        <v>74</v>
      </c>
      <c r="G630">
        <v>2013</v>
      </c>
      <c r="H630">
        <v>580</v>
      </c>
      <c r="I630">
        <v>0.5</v>
      </c>
      <c r="J630">
        <v>17.994</v>
      </c>
      <c r="K630">
        <v>0</v>
      </c>
    </row>
    <row r="631" spans="1:11">
      <c r="A631">
        <v>28055</v>
      </c>
      <c r="B631" t="s">
        <v>1149</v>
      </c>
      <c r="C631" t="s">
        <v>907</v>
      </c>
      <c r="D631" t="s">
        <v>107</v>
      </c>
      <c r="E631" t="s">
        <v>765</v>
      </c>
      <c r="F631">
        <v>56</v>
      </c>
      <c r="G631">
        <v>1970</v>
      </c>
      <c r="H631">
        <v>94</v>
      </c>
      <c r="I631">
        <v>25.25</v>
      </c>
      <c r="J631">
        <v>1827.884</v>
      </c>
      <c r="K631">
        <v>867</v>
      </c>
    </row>
    <row r="632" spans="1:11">
      <c r="A632">
        <v>10093</v>
      </c>
      <c r="B632" t="s">
        <v>1150</v>
      </c>
      <c r="C632" t="s">
        <v>736</v>
      </c>
      <c r="E632" t="s">
        <v>584</v>
      </c>
      <c r="F632">
        <v>69</v>
      </c>
      <c r="G632">
        <v>1947</v>
      </c>
      <c r="H632">
        <v>479</v>
      </c>
      <c r="I632">
        <v>3.1259999999999999</v>
      </c>
      <c r="J632">
        <v>112.55200000000001</v>
      </c>
      <c r="K632">
        <v>35</v>
      </c>
    </row>
    <row r="633" spans="1:11">
      <c r="A633">
        <v>96042</v>
      </c>
      <c r="B633" t="s">
        <v>1151</v>
      </c>
      <c r="C633" t="s">
        <v>633</v>
      </c>
      <c r="D633" t="s">
        <v>107</v>
      </c>
      <c r="E633" t="s">
        <v>513</v>
      </c>
      <c r="F633">
        <v>1</v>
      </c>
      <c r="G633">
        <v>1963</v>
      </c>
      <c r="H633">
        <v>511</v>
      </c>
      <c r="I633">
        <v>1.5629999999999999</v>
      </c>
      <c r="J633">
        <v>79.421000000000006</v>
      </c>
      <c r="K633">
        <v>19</v>
      </c>
    </row>
    <row r="634" spans="1:11">
      <c r="A634">
        <v>23219</v>
      </c>
      <c r="B634" t="s">
        <v>1151</v>
      </c>
      <c r="C634" t="s">
        <v>697</v>
      </c>
      <c r="D634" t="s">
        <v>107</v>
      </c>
      <c r="E634" t="s">
        <v>678</v>
      </c>
      <c r="F634">
        <v>54</v>
      </c>
      <c r="G634">
        <v>1978</v>
      </c>
      <c r="H634">
        <v>254</v>
      </c>
      <c r="I634">
        <v>14.032999999999999</v>
      </c>
      <c r="J634">
        <v>628.14800000000002</v>
      </c>
      <c r="K634">
        <v>126</v>
      </c>
    </row>
    <row r="635" spans="1:11">
      <c r="A635">
        <v>20500</v>
      </c>
      <c r="B635" t="s">
        <v>1151</v>
      </c>
      <c r="C635" t="s">
        <v>818</v>
      </c>
      <c r="D635" t="s">
        <v>107</v>
      </c>
      <c r="E635" t="s">
        <v>513</v>
      </c>
      <c r="F635">
        <v>1</v>
      </c>
      <c r="G635">
        <v>1971</v>
      </c>
      <c r="H635">
        <v>739</v>
      </c>
      <c r="I635">
        <v>0</v>
      </c>
      <c r="J635">
        <v>0</v>
      </c>
      <c r="K635">
        <v>0</v>
      </c>
    </row>
    <row r="636" spans="1:11">
      <c r="A636">
        <v>18110</v>
      </c>
      <c r="B636" t="s">
        <v>1154</v>
      </c>
      <c r="C636" t="s">
        <v>565</v>
      </c>
      <c r="E636" t="s">
        <v>1016</v>
      </c>
      <c r="F636">
        <v>31</v>
      </c>
      <c r="G636">
        <v>1979</v>
      </c>
      <c r="H636">
        <v>740</v>
      </c>
      <c r="I636">
        <v>0</v>
      </c>
      <c r="J636">
        <v>0</v>
      </c>
      <c r="K636">
        <v>0</v>
      </c>
    </row>
    <row r="637" spans="1:11">
      <c r="A637">
        <v>23255</v>
      </c>
      <c r="B637" t="s">
        <v>1155</v>
      </c>
      <c r="C637" t="s">
        <v>807</v>
      </c>
      <c r="D637" t="s">
        <v>657</v>
      </c>
      <c r="E637" t="s">
        <v>1016</v>
      </c>
      <c r="F637">
        <v>31</v>
      </c>
      <c r="G637">
        <v>2013</v>
      </c>
      <c r="H637">
        <v>741</v>
      </c>
      <c r="I637">
        <v>0</v>
      </c>
      <c r="J637">
        <v>0</v>
      </c>
      <c r="K637">
        <v>0</v>
      </c>
    </row>
    <row r="638" spans="1:11">
      <c r="A638">
        <v>21756</v>
      </c>
      <c r="B638" t="s">
        <v>1155</v>
      </c>
      <c r="C638" t="s">
        <v>742</v>
      </c>
      <c r="D638" t="s">
        <v>107</v>
      </c>
      <c r="E638" t="s">
        <v>1016</v>
      </c>
      <c r="F638">
        <v>31</v>
      </c>
      <c r="G638">
        <v>1985</v>
      </c>
      <c r="H638">
        <v>46</v>
      </c>
      <c r="I638">
        <v>32.563000000000002</v>
      </c>
      <c r="J638">
        <v>2396.9079999999999</v>
      </c>
      <c r="K638">
        <v>1175</v>
      </c>
    </row>
    <row r="639" spans="1:11">
      <c r="A639">
        <v>28004</v>
      </c>
      <c r="B639" t="s">
        <v>1159</v>
      </c>
      <c r="C639" t="s">
        <v>582</v>
      </c>
      <c r="E639" t="s">
        <v>765</v>
      </c>
      <c r="F639">
        <v>56</v>
      </c>
      <c r="G639">
        <v>1978</v>
      </c>
      <c r="H639">
        <v>25</v>
      </c>
      <c r="I639">
        <v>40.375</v>
      </c>
      <c r="J639">
        <v>2977.221</v>
      </c>
      <c r="K639">
        <v>1303</v>
      </c>
    </row>
    <row r="640" spans="1:11">
      <c r="A640">
        <v>16027</v>
      </c>
      <c r="B640" t="s">
        <v>1160</v>
      </c>
      <c r="C640" t="s">
        <v>596</v>
      </c>
      <c r="D640" t="s">
        <v>107</v>
      </c>
      <c r="E640" t="s">
        <v>567</v>
      </c>
      <c r="F640">
        <v>29</v>
      </c>
      <c r="G640">
        <v>1972</v>
      </c>
      <c r="H640">
        <v>265</v>
      </c>
      <c r="I640">
        <v>12.063000000000001</v>
      </c>
      <c r="J640">
        <v>591.22</v>
      </c>
      <c r="K640">
        <v>140</v>
      </c>
    </row>
    <row r="641" spans="1:11">
      <c r="A641">
        <v>12017</v>
      </c>
      <c r="B641" t="s">
        <v>1160</v>
      </c>
      <c r="C641" t="s">
        <v>759</v>
      </c>
      <c r="D641" t="s">
        <v>107</v>
      </c>
      <c r="E641" t="s">
        <v>501</v>
      </c>
      <c r="F641">
        <v>64</v>
      </c>
      <c r="G641">
        <v>1968</v>
      </c>
      <c r="H641">
        <v>45</v>
      </c>
      <c r="I641">
        <v>28</v>
      </c>
      <c r="J641">
        <v>2406.8130000000001</v>
      </c>
      <c r="K641">
        <v>1419</v>
      </c>
    </row>
    <row r="642" spans="1:11">
      <c r="A642">
        <v>23208</v>
      </c>
      <c r="B642" t="s">
        <v>1668</v>
      </c>
      <c r="C642" t="s">
        <v>862</v>
      </c>
      <c r="E642" t="s">
        <v>792</v>
      </c>
      <c r="F642">
        <v>93</v>
      </c>
      <c r="G642">
        <v>2006</v>
      </c>
      <c r="H642">
        <v>742</v>
      </c>
      <c r="I642">
        <v>0</v>
      </c>
      <c r="J642">
        <v>0</v>
      </c>
      <c r="K642">
        <v>0</v>
      </c>
    </row>
    <row r="643" spans="1:11">
      <c r="A643">
        <v>22118</v>
      </c>
      <c r="B643" t="s">
        <v>1669</v>
      </c>
      <c r="C643" t="s">
        <v>554</v>
      </c>
      <c r="E643" t="s">
        <v>841</v>
      </c>
      <c r="F643">
        <v>83</v>
      </c>
      <c r="G643">
        <v>1972</v>
      </c>
      <c r="H643">
        <v>552</v>
      </c>
      <c r="I643">
        <v>0.93700000000000006</v>
      </c>
      <c r="J643">
        <v>35.774000000000001</v>
      </c>
      <c r="K643">
        <v>0</v>
      </c>
    </row>
    <row r="644" spans="1:11">
      <c r="A644">
        <v>23235</v>
      </c>
      <c r="B644" t="s">
        <v>1670</v>
      </c>
      <c r="C644" t="s">
        <v>1041</v>
      </c>
      <c r="D644" t="s">
        <v>91</v>
      </c>
      <c r="E644" t="s">
        <v>729</v>
      </c>
      <c r="F644">
        <v>74</v>
      </c>
      <c r="G644">
        <v>2011</v>
      </c>
      <c r="H644">
        <v>591</v>
      </c>
      <c r="I644">
        <v>0.375</v>
      </c>
      <c r="J644">
        <v>13.494999999999999</v>
      </c>
      <c r="K644">
        <v>0</v>
      </c>
    </row>
    <row r="645" spans="1:11">
      <c r="A645">
        <v>22177</v>
      </c>
      <c r="B645" t="s">
        <v>1671</v>
      </c>
      <c r="C645" t="s">
        <v>1672</v>
      </c>
      <c r="D645" t="s">
        <v>107</v>
      </c>
      <c r="E645" t="s">
        <v>170</v>
      </c>
      <c r="F645">
        <v>14</v>
      </c>
      <c r="G645">
        <v>1979</v>
      </c>
      <c r="H645">
        <v>313</v>
      </c>
      <c r="I645">
        <v>6.3449999999999998</v>
      </c>
      <c r="J645">
        <v>411.13799999999998</v>
      </c>
      <c r="K645">
        <v>147</v>
      </c>
    </row>
    <row r="646" spans="1:11">
      <c r="A646">
        <v>16114</v>
      </c>
      <c r="B646" t="s">
        <v>1162</v>
      </c>
      <c r="C646" t="s">
        <v>568</v>
      </c>
      <c r="E646" t="s">
        <v>606</v>
      </c>
      <c r="F646">
        <v>21</v>
      </c>
      <c r="G646">
        <v>1954</v>
      </c>
      <c r="H646">
        <v>743</v>
      </c>
      <c r="I646">
        <v>0</v>
      </c>
      <c r="J646">
        <v>0</v>
      </c>
      <c r="K646">
        <v>0</v>
      </c>
    </row>
    <row r="647" spans="1:11">
      <c r="A647">
        <v>28010</v>
      </c>
      <c r="B647" t="s">
        <v>1163</v>
      </c>
      <c r="C647" t="s">
        <v>582</v>
      </c>
      <c r="E647" t="s">
        <v>513</v>
      </c>
      <c r="F647">
        <v>1</v>
      </c>
      <c r="G647">
        <v>1969</v>
      </c>
      <c r="H647">
        <v>441</v>
      </c>
      <c r="I647">
        <v>4</v>
      </c>
      <c r="J647">
        <v>154.45599999999999</v>
      </c>
      <c r="K647">
        <v>0</v>
      </c>
    </row>
    <row r="648" spans="1:11">
      <c r="A648">
        <v>23245</v>
      </c>
      <c r="B648" t="s">
        <v>1673</v>
      </c>
      <c r="C648" t="s">
        <v>582</v>
      </c>
      <c r="E648" t="s">
        <v>566</v>
      </c>
      <c r="F648">
        <v>51</v>
      </c>
      <c r="G648">
        <v>1957</v>
      </c>
      <c r="H648">
        <v>384</v>
      </c>
      <c r="I648">
        <v>6.1890000000000001</v>
      </c>
      <c r="J648">
        <v>245.61</v>
      </c>
      <c r="K648">
        <v>21</v>
      </c>
    </row>
    <row r="649" spans="1:11">
      <c r="A649">
        <v>99551</v>
      </c>
      <c r="B649" t="s">
        <v>1165</v>
      </c>
      <c r="C649" t="s">
        <v>554</v>
      </c>
      <c r="E649" t="s">
        <v>507</v>
      </c>
      <c r="F649">
        <v>20</v>
      </c>
      <c r="G649">
        <v>1954</v>
      </c>
      <c r="H649">
        <v>744</v>
      </c>
      <c r="I649">
        <v>0</v>
      </c>
      <c r="J649">
        <v>0</v>
      </c>
      <c r="K649">
        <v>0</v>
      </c>
    </row>
    <row r="650" spans="1:11">
      <c r="A650">
        <v>29054</v>
      </c>
      <c r="B650" t="s">
        <v>1168</v>
      </c>
      <c r="C650" t="s">
        <v>583</v>
      </c>
      <c r="E650" t="s">
        <v>501</v>
      </c>
      <c r="F650">
        <v>64</v>
      </c>
      <c r="G650">
        <v>1971</v>
      </c>
      <c r="H650">
        <v>456</v>
      </c>
      <c r="I650">
        <v>1.375</v>
      </c>
      <c r="J650">
        <v>141.11799999999999</v>
      </c>
      <c r="K650">
        <v>75</v>
      </c>
    </row>
    <row r="651" spans="1:11">
      <c r="A651">
        <v>15001</v>
      </c>
      <c r="B651" t="s">
        <v>1169</v>
      </c>
      <c r="C651" t="s">
        <v>554</v>
      </c>
      <c r="E651" t="s">
        <v>161</v>
      </c>
      <c r="F651">
        <v>30</v>
      </c>
      <c r="G651">
        <v>1961</v>
      </c>
      <c r="H651">
        <v>79</v>
      </c>
      <c r="I651">
        <v>34.25</v>
      </c>
      <c r="J651">
        <v>1985.395</v>
      </c>
      <c r="K651">
        <v>885</v>
      </c>
    </row>
    <row r="652" spans="1:11">
      <c r="A652">
        <v>98304</v>
      </c>
      <c r="B652" t="s">
        <v>1170</v>
      </c>
      <c r="C652" t="s">
        <v>1171</v>
      </c>
      <c r="D652" t="s">
        <v>107</v>
      </c>
      <c r="E652" t="s">
        <v>592</v>
      </c>
      <c r="F652">
        <v>2</v>
      </c>
      <c r="G652">
        <v>1960</v>
      </c>
      <c r="H652">
        <v>312</v>
      </c>
      <c r="I652">
        <v>10.345000000000001</v>
      </c>
      <c r="J652">
        <v>414.85899999999998</v>
      </c>
      <c r="K652">
        <v>72</v>
      </c>
    </row>
    <row r="653" spans="1:11">
      <c r="A653">
        <v>14005</v>
      </c>
      <c r="B653" t="s">
        <v>1173</v>
      </c>
      <c r="C653" t="s">
        <v>552</v>
      </c>
      <c r="E653" t="s">
        <v>747</v>
      </c>
      <c r="F653">
        <v>68</v>
      </c>
      <c r="G653">
        <v>1988</v>
      </c>
      <c r="H653">
        <v>745</v>
      </c>
      <c r="I653">
        <v>0</v>
      </c>
      <c r="J653">
        <v>0</v>
      </c>
      <c r="K653">
        <v>0</v>
      </c>
    </row>
    <row r="654" spans="1:11">
      <c r="A654">
        <v>13063</v>
      </c>
      <c r="B654" t="s">
        <v>1174</v>
      </c>
      <c r="C654" t="s">
        <v>594</v>
      </c>
      <c r="D654" t="s">
        <v>107</v>
      </c>
      <c r="E654" t="s">
        <v>513</v>
      </c>
      <c r="F654">
        <v>1</v>
      </c>
      <c r="G654">
        <v>1953</v>
      </c>
      <c r="H654">
        <v>503</v>
      </c>
      <c r="I654">
        <v>3.3439999999999999</v>
      </c>
      <c r="J654">
        <v>90.082999999999998</v>
      </c>
      <c r="K654">
        <v>0</v>
      </c>
    </row>
    <row r="655" spans="1:11">
      <c r="A655">
        <v>26034</v>
      </c>
      <c r="B655" t="s">
        <v>1175</v>
      </c>
      <c r="C655" t="s">
        <v>745</v>
      </c>
      <c r="E655" t="s">
        <v>504</v>
      </c>
      <c r="F655">
        <v>63</v>
      </c>
      <c r="G655">
        <v>1954</v>
      </c>
      <c r="H655">
        <v>166</v>
      </c>
      <c r="I655">
        <v>21.062999999999999</v>
      </c>
      <c r="J655">
        <v>1133.3009999999999</v>
      </c>
      <c r="K655">
        <v>325</v>
      </c>
    </row>
    <row r="656" spans="1:11">
      <c r="A656">
        <v>21755</v>
      </c>
      <c r="B656" t="s">
        <v>1178</v>
      </c>
      <c r="C656" t="s">
        <v>557</v>
      </c>
      <c r="E656" t="s">
        <v>1016</v>
      </c>
      <c r="F656">
        <v>31</v>
      </c>
      <c r="G656">
        <v>1981</v>
      </c>
      <c r="H656">
        <v>9</v>
      </c>
      <c r="I656">
        <v>47</v>
      </c>
      <c r="J656">
        <v>3677.9479999999999</v>
      </c>
      <c r="K656">
        <v>1716</v>
      </c>
    </row>
    <row r="657" spans="1:11">
      <c r="A657">
        <v>21837</v>
      </c>
      <c r="B657" t="s">
        <v>1179</v>
      </c>
      <c r="C657" t="s">
        <v>561</v>
      </c>
      <c r="D657" t="s">
        <v>107</v>
      </c>
      <c r="E657" t="s">
        <v>1016</v>
      </c>
      <c r="F657">
        <v>31</v>
      </c>
      <c r="G657">
        <v>1982</v>
      </c>
      <c r="H657">
        <v>541</v>
      </c>
      <c r="I657">
        <v>1.875</v>
      </c>
      <c r="J657">
        <v>48.863999999999997</v>
      </c>
      <c r="K657">
        <v>0</v>
      </c>
    </row>
    <row r="658" spans="1:11">
      <c r="A658">
        <v>22142</v>
      </c>
      <c r="B658" t="s">
        <v>1674</v>
      </c>
      <c r="C658" t="s">
        <v>556</v>
      </c>
      <c r="D658" t="s">
        <v>107</v>
      </c>
      <c r="E658" t="s">
        <v>768</v>
      </c>
      <c r="F658">
        <v>45</v>
      </c>
      <c r="G658">
        <v>1952</v>
      </c>
      <c r="H658">
        <v>238</v>
      </c>
      <c r="I658">
        <v>19.126999999999999</v>
      </c>
      <c r="J658">
        <v>721.64400000000001</v>
      </c>
      <c r="K658">
        <v>107</v>
      </c>
    </row>
    <row r="659" spans="1:11">
      <c r="A659">
        <v>19034</v>
      </c>
      <c r="B659" t="s">
        <v>1180</v>
      </c>
      <c r="C659" t="s">
        <v>1181</v>
      </c>
      <c r="D659" t="s">
        <v>91</v>
      </c>
      <c r="E659" t="s">
        <v>510</v>
      </c>
      <c r="F659">
        <v>88</v>
      </c>
      <c r="G659">
        <v>2009</v>
      </c>
      <c r="H659">
        <v>85</v>
      </c>
      <c r="I659">
        <v>34.125</v>
      </c>
      <c r="J659">
        <v>1940.028</v>
      </c>
      <c r="K659">
        <v>736</v>
      </c>
    </row>
    <row r="660" spans="1:11">
      <c r="A660">
        <v>18065</v>
      </c>
      <c r="B660" t="s">
        <v>1180</v>
      </c>
      <c r="C660" t="s">
        <v>635</v>
      </c>
      <c r="E660" t="s">
        <v>510</v>
      </c>
      <c r="F660">
        <v>88</v>
      </c>
      <c r="G660">
        <v>1971</v>
      </c>
      <c r="H660">
        <v>68</v>
      </c>
      <c r="I660">
        <v>29.719000000000001</v>
      </c>
      <c r="J660">
        <v>2097.4589999999998</v>
      </c>
      <c r="K660">
        <v>990</v>
      </c>
    </row>
    <row r="661" spans="1:11">
      <c r="A661">
        <v>18124</v>
      </c>
      <c r="B661" t="s">
        <v>1182</v>
      </c>
      <c r="C661" t="s">
        <v>1183</v>
      </c>
      <c r="D661" t="s">
        <v>657</v>
      </c>
      <c r="E661" t="s">
        <v>510</v>
      </c>
      <c r="F661">
        <v>88</v>
      </c>
      <c r="G661">
        <v>2007</v>
      </c>
      <c r="H661">
        <v>27</v>
      </c>
      <c r="I661">
        <v>45.25</v>
      </c>
      <c r="J661">
        <v>2871.1260000000002</v>
      </c>
      <c r="K661">
        <v>1309</v>
      </c>
    </row>
    <row r="662" spans="1:11">
      <c r="A662">
        <v>10048</v>
      </c>
      <c r="B662" t="s">
        <v>1186</v>
      </c>
      <c r="C662" t="s">
        <v>707</v>
      </c>
      <c r="E662" t="s">
        <v>504</v>
      </c>
      <c r="F662">
        <v>63</v>
      </c>
      <c r="G662">
        <v>1996</v>
      </c>
      <c r="H662">
        <v>76</v>
      </c>
      <c r="I662">
        <v>26.437999999999999</v>
      </c>
      <c r="J662">
        <v>2009.6869999999999</v>
      </c>
      <c r="K662">
        <v>913</v>
      </c>
    </row>
    <row r="663" spans="1:11">
      <c r="A663">
        <v>16140</v>
      </c>
      <c r="B663" t="s">
        <v>1187</v>
      </c>
      <c r="C663" t="s">
        <v>1188</v>
      </c>
      <c r="E663" t="s">
        <v>513</v>
      </c>
      <c r="F663">
        <v>1</v>
      </c>
      <c r="G663">
        <v>1951</v>
      </c>
      <c r="H663">
        <v>746</v>
      </c>
      <c r="I663">
        <v>0</v>
      </c>
      <c r="J663">
        <v>0</v>
      </c>
      <c r="K663">
        <v>0</v>
      </c>
    </row>
    <row r="664" spans="1:11">
      <c r="A664">
        <v>24320</v>
      </c>
      <c r="B664" t="s">
        <v>1189</v>
      </c>
      <c r="C664" t="s">
        <v>808</v>
      </c>
      <c r="D664" t="s">
        <v>107</v>
      </c>
      <c r="E664" t="s">
        <v>200</v>
      </c>
      <c r="F664">
        <v>19</v>
      </c>
      <c r="G664">
        <v>1963</v>
      </c>
      <c r="H664">
        <v>558</v>
      </c>
      <c r="I664">
        <v>0.46899999999999997</v>
      </c>
      <c r="J664">
        <v>32.652999999999999</v>
      </c>
      <c r="K664">
        <v>15</v>
      </c>
    </row>
    <row r="665" spans="1:11">
      <c r="A665">
        <v>22153</v>
      </c>
      <c r="B665" t="s">
        <v>1675</v>
      </c>
      <c r="C665" t="s">
        <v>582</v>
      </c>
      <c r="E665" t="s">
        <v>666</v>
      </c>
      <c r="F665">
        <v>87</v>
      </c>
      <c r="G665">
        <v>1962</v>
      </c>
      <c r="H665">
        <v>169</v>
      </c>
      <c r="I665">
        <v>17.437999999999999</v>
      </c>
      <c r="J665">
        <v>1119.384</v>
      </c>
      <c r="K665">
        <v>379</v>
      </c>
    </row>
    <row r="666" spans="1:11">
      <c r="A666">
        <v>10159</v>
      </c>
      <c r="B666" t="s">
        <v>1191</v>
      </c>
      <c r="C666" t="s">
        <v>643</v>
      </c>
      <c r="E666" t="s">
        <v>797</v>
      </c>
      <c r="F666">
        <v>77</v>
      </c>
      <c r="G666">
        <v>1949</v>
      </c>
      <c r="H666">
        <v>747</v>
      </c>
      <c r="I666">
        <v>0</v>
      </c>
      <c r="J666">
        <v>0</v>
      </c>
      <c r="K666">
        <v>0</v>
      </c>
    </row>
    <row r="667" spans="1:11">
      <c r="A667">
        <v>10163</v>
      </c>
      <c r="B667" t="s">
        <v>1192</v>
      </c>
      <c r="C667" t="s">
        <v>596</v>
      </c>
      <c r="D667" t="s">
        <v>107</v>
      </c>
      <c r="E667" t="s">
        <v>797</v>
      </c>
      <c r="F667">
        <v>77</v>
      </c>
      <c r="G667">
        <v>1952</v>
      </c>
      <c r="H667">
        <v>110</v>
      </c>
      <c r="I667">
        <v>17.626999999999999</v>
      </c>
      <c r="J667">
        <v>1616.3109999999999</v>
      </c>
      <c r="K667">
        <v>833</v>
      </c>
    </row>
    <row r="668" spans="1:11">
      <c r="A668">
        <v>29062</v>
      </c>
      <c r="B668" t="s">
        <v>1676</v>
      </c>
      <c r="C668" t="s">
        <v>582</v>
      </c>
      <c r="E668" t="s">
        <v>507</v>
      </c>
      <c r="F668">
        <v>20</v>
      </c>
      <c r="G668">
        <v>1999</v>
      </c>
      <c r="H668">
        <v>2</v>
      </c>
      <c r="I668">
        <v>61</v>
      </c>
      <c r="J668">
        <v>4644.9560000000001</v>
      </c>
      <c r="K668">
        <v>1917</v>
      </c>
    </row>
    <row r="669" spans="1:11">
      <c r="A669">
        <v>29061</v>
      </c>
      <c r="B669" t="s">
        <v>1677</v>
      </c>
      <c r="C669" t="s">
        <v>582</v>
      </c>
      <c r="E669" t="s">
        <v>507</v>
      </c>
      <c r="F669">
        <v>20</v>
      </c>
      <c r="G669">
        <v>1970</v>
      </c>
      <c r="H669">
        <v>30</v>
      </c>
      <c r="I669">
        <v>40.5</v>
      </c>
      <c r="J669">
        <v>2826.701</v>
      </c>
      <c r="K669">
        <v>1258</v>
      </c>
    </row>
    <row r="670" spans="1:11">
      <c r="A670">
        <v>18132</v>
      </c>
      <c r="B670" t="s">
        <v>1196</v>
      </c>
      <c r="C670" t="s">
        <v>615</v>
      </c>
      <c r="E670" t="s">
        <v>510</v>
      </c>
      <c r="F670">
        <v>88</v>
      </c>
      <c r="G670">
        <v>1976</v>
      </c>
      <c r="H670">
        <v>64</v>
      </c>
      <c r="I670">
        <v>29</v>
      </c>
      <c r="J670">
        <v>2125.0709999999999</v>
      </c>
      <c r="K670">
        <v>892</v>
      </c>
    </row>
    <row r="671" spans="1:11">
      <c r="A671">
        <v>15070</v>
      </c>
      <c r="B671" t="s">
        <v>1197</v>
      </c>
      <c r="C671" t="s">
        <v>1678</v>
      </c>
      <c r="D671" t="s">
        <v>107</v>
      </c>
      <c r="E671" t="s">
        <v>507</v>
      </c>
      <c r="F671">
        <v>20</v>
      </c>
      <c r="G671">
        <v>1973</v>
      </c>
      <c r="H671">
        <v>141</v>
      </c>
      <c r="I671">
        <v>20.687000000000001</v>
      </c>
      <c r="J671">
        <v>1300.086</v>
      </c>
      <c r="K671">
        <v>470</v>
      </c>
    </row>
    <row r="672" spans="1:11">
      <c r="A672">
        <v>15057</v>
      </c>
      <c r="B672" t="s">
        <v>1199</v>
      </c>
      <c r="C672" t="s">
        <v>802</v>
      </c>
      <c r="E672" t="s">
        <v>513</v>
      </c>
      <c r="F672">
        <v>1</v>
      </c>
      <c r="G672">
        <v>2005</v>
      </c>
      <c r="H672">
        <v>22</v>
      </c>
      <c r="I672">
        <v>39.5</v>
      </c>
      <c r="J672">
        <v>3076.2869999999998</v>
      </c>
      <c r="K672">
        <v>1555</v>
      </c>
    </row>
    <row r="673" spans="1:11">
      <c r="A673">
        <v>18102</v>
      </c>
      <c r="B673" t="s">
        <v>1199</v>
      </c>
      <c r="C673" t="s">
        <v>602</v>
      </c>
      <c r="E673" t="s">
        <v>513</v>
      </c>
      <c r="F673">
        <v>1</v>
      </c>
      <c r="G673">
        <v>1947</v>
      </c>
      <c r="H673">
        <v>748</v>
      </c>
      <c r="I673">
        <v>0</v>
      </c>
      <c r="J673">
        <v>0</v>
      </c>
      <c r="K673">
        <v>0</v>
      </c>
    </row>
    <row r="674" spans="1:11">
      <c r="A674">
        <v>17095</v>
      </c>
      <c r="B674" t="s">
        <v>1200</v>
      </c>
      <c r="C674" t="s">
        <v>596</v>
      </c>
      <c r="D674" t="s">
        <v>107</v>
      </c>
      <c r="E674" t="s">
        <v>513</v>
      </c>
      <c r="F674">
        <v>1</v>
      </c>
      <c r="G674">
        <v>1972</v>
      </c>
      <c r="H674">
        <v>517</v>
      </c>
      <c r="I674">
        <v>1.4379999999999999</v>
      </c>
      <c r="J674">
        <v>75.105999999999995</v>
      </c>
      <c r="K674">
        <v>19</v>
      </c>
    </row>
    <row r="675" spans="1:11">
      <c r="A675">
        <v>96052</v>
      </c>
      <c r="B675" t="s">
        <v>1201</v>
      </c>
      <c r="C675" t="s">
        <v>615</v>
      </c>
      <c r="E675" t="s">
        <v>606</v>
      </c>
      <c r="F675">
        <v>21</v>
      </c>
      <c r="G675">
        <v>1948</v>
      </c>
      <c r="H675">
        <v>448</v>
      </c>
      <c r="I675">
        <v>5.3129999999999997</v>
      </c>
      <c r="J675">
        <v>149.01400000000001</v>
      </c>
      <c r="K675">
        <v>0</v>
      </c>
    </row>
    <row r="676" spans="1:11">
      <c r="A676">
        <v>10031</v>
      </c>
      <c r="B676" t="s">
        <v>1202</v>
      </c>
      <c r="C676" t="s">
        <v>554</v>
      </c>
      <c r="E676" t="s">
        <v>520</v>
      </c>
      <c r="F676">
        <v>67</v>
      </c>
      <c r="G676">
        <v>1959</v>
      </c>
      <c r="H676">
        <v>465</v>
      </c>
      <c r="I676">
        <v>1.125</v>
      </c>
      <c r="J676">
        <v>134.69399999999999</v>
      </c>
      <c r="K676">
        <v>87</v>
      </c>
    </row>
    <row r="677" spans="1:11">
      <c r="A677">
        <v>10032</v>
      </c>
      <c r="B677" t="s">
        <v>1202</v>
      </c>
      <c r="C677" t="s">
        <v>554</v>
      </c>
      <c r="E677" t="s">
        <v>520</v>
      </c>
      <c r="F677">
        <v>67</v>
      </c>
      <c r="G677">
        <v>1953</v>
      </c>
      <c r="H677">
        <v>490</v>
      </c>
      <c r="I677">
        <v>0.81299999999999994</v>
      </c>
      <c r="J677">
        <v>103.446</v>
      </c>
      <c r="K677">
        <v>69</v>
      </c>
    </row>
    <row r="678" spans="1:11">
      <c r="A678">
        <v>10033</v>
      </c>
      <c r="B678" t="s">
        <v>1202</v>
      </c>
      <c r="C678" t="s">
        <v>545</v>
      </c>
      <c r="E678" t="s">
        <v>520</v>
      </c>
      <c r="F678">
        <v>67</v>
      </c>
      <c r="G678">
        <v>1963</v>
      </c>
      <c r="H678">
        <v>749</v>
      </c>
      <c r="I678">
        <v>0</v>
      </c>
      <c r="J678">
        <v>0</v>
      </c>
      <c r="K678">
        <v>0</v>
      </c>
    </row>
    <row r="679" spans="1:11">
      <c r="A679">
        <v>21786</v>
      </c>
      <c r="B679" t="s">
        <v>1205</v>
      </c>
      <c r="C679" t="s">
        <v>793</v>
      </c>
      <c r="D679" t="s">
        <v>107</v>
      </c>
      <c r="E679" t="s">
        <v>513</v>
      </c>
      <c r="F679">
        <v>1</v>
      </c>
      <c r="G679">
        <v>1986</v>
      </c>
      <c r="H679">
        <v>440</v>
      </c>
      <c r="I679">
        <v>1.5</v>
      </c>
      <c r="J679">
        <v>158.02799999999999</v>
      </c>
      <c r="K679">
        <v>84</v>
      </c>
    </row>
    <row r="680" spans="1:11">
      <c r="A680">
        <v>19001</v>
      </c>
      <c r="B680" t="s">
        <v>1210</v>
      </c>
      <c r="C680" t="s">
        <v>686</v>
      </c>
      <c r="E680" t="s">
        <v>797</v>
      </c>
      <c r="F680">
        <v>77</v>
      </c>
      <c r="G680">
        <v>1966</v>
      </c>
      <c r="H680">
        <v>98</v>
      </c>
      <c r="I680">
        <v>28.626000000000001</v>
      </c>
      <c r="J680">
        <v>1790.201</v>
      </c>
      <c r="K680">
        <v>656</v>
      </c>
    </row>
    <row r="681" spans="1:11">
      <c r="A681">
        <v>96200</v>
      </c>
      <c r="B681" t="s">
        <v>1211</v>
      </c>
      <c r="C681" t="s">
        <v>583</v>
      </c>
      <c r="E681" t="s">
        <v>613</v>
      </c>
      <c r="F681">
        <v>24</v>
      </c>
      <c r="G681">
        <v>1952</v>
      </c>
      <c r="H681">
        <v>378</v>
      </c>
      <c r="I681">
        <v>9</v>
      </c>
      <c r="J681">
        <v>261.55799999999999</v>
      </c>
      <c r="K681">
        <v>0</v>
      </c>
    </row>
    <row r="682" spans="1:11">
      <c r="A682">
        <v>10037</v>
      </c>
      <c r="B682" t="s">
        <v>1212</v>
      </c>
      <c r="C682" t="s">
        <v>664</v>
      </c>
      <c r="E682" t="s">
        <v>747</v>
      </c>
      <c r="F682">
        <v>68</v>
      </c>
      <c r="G682">
        <v>1976</v>
      </c>
      <c r="H682">
        <v>750</v>
      </c>
      <c r="I682">
        <v>0</v>
      </c>
      <c r="J682">
        <v>0</v>
      </c>
      <c r="K682">
        <v>0</v>
      </c>
    </row>
    <row r="683" spans="1:11">
      <c r="A683">
        <v>21025</v>
      </c>
      <c r="B683" t="s">
        <v>1679</v>
      </c>
      <c r="C683" t="s">
        <v>626</v>
      </c>
      <c r="E683" t="s">
        <v>666</v>
      </c>
      <c r="F683">
        <v>87</v>
      </c>
      <c r="G683">
        <v>1957</v>
      </c>
      <c r="H683">
        <v>194</v>
      </c>
      <c r="I683">
        <v>16.907</v>
      </c>
      <c r="J683">
        <v>989.88900000000001</v>
      </c>
      <c r="K683">
        <v>376</v>
      </c>
    </row>
    <row r="684" spans="1:11">
      <c r="A684">
        <v>21026</v>
      </c>
      <c r="B684" t="s">
        <v>1680</v>
      </c>
      <c r="C684" t="s">
        <v>846</v>
      </c>
      <c r="D684" t="s">
        <v>107</v>
      </c>
      <c r="E684" t="s">
        <v>666</v>
      </c>
      <c r="F684">
        <v>87</v>
      </c>
      <c r="G684">
        <v>1958</v>
      </c>
      <c r="H684">
        <v>131</v>
      </c>
      <c r="I684">
        <v>21.251000000000001</v>
      </c>
      <c r="J684">
        <v>1406.125</v>
      </c>
      <c r="K684">
        <v>608</v>
      </c>
    </row>
    <row r="685" spans="1:11">
      <c r="A685">
        <v>96213</v>
      </c>
      <c r="B685" t="s">
        <v>1213</v>
      </c>
      <c r="C685" t="s">
        <v>790</v>
      </c>
      <c r="D685" t="s">
        <v>107</v>
      </c>
      <c r="E685" t="s">
        <v>613</v>
      </c>
      <c r="F685">
        <v>24</v>
      </c>
      <c r="G685">
        <v>1960</v>
      </c>
      <c r="H685">
        <v>751</v>
      </c>
      <c r="I685">
        <v>0</v>
      </c>
      <c r="J685">
        <v>0</v>
      </c>
      <c r="K685">
        <v>0</v>
      </c>
    </row>
    <row r="686" spans="1:11">
      <c r="A686">
        <v>20611</v>
      </c>
      <c r="B686" t="s">
        <v>1214</v>
      </c>
      <c r="C686" t="s">
        <v>582</v>
      </c>
      <c r="E686" t="s">
        <v>597</v>
      </c>
      <c r="F686">
        <v>95</v>
      </c>
      <c r="G686">
        <v>1967</v>
      </c>
      <c r="H686">
        <v>752</v>
      </c>
      <c r="I686">
        <v>0</v>
      </c>
      <c r="J686">
        <v>0</v>
      </c>
      <c r="K686">
        <v>0</v>
      </c>
    </row>
    <row r="687" spans="1:11">
      <c r="A687">
        <v>21028</v>
      </c>
      <c r="B687" t="s">
        <v>1681</v>
      </c>
      <c r="C687" t="s">
        <v>590</v>
      </c>
      <c r="D687" t="s">
        <v>107</v>
      </c>
      <c r="E687" t="s">
        <v>666</v>
      </c>
      <c r="F687">
        <v>87</v>
      </c>
      <c r="G687">
        <v>1951</v>
      </c>
      <c r="H687">
        <v>181</v>
      </c>
      <c r="I687">
        <v>14.656000000000001</v>
      </c>
      <c r="J687">
        <v>1039.8530000000001</v>
      </c>
      <c r="K687">
        <v>469</v>
      </c>
    </row>
    <row r="688" spans="1:11">
      <c r="A688">
        <v>28027</v>
      </c>
      <c r="B688" t="s">
        <v>1215</v>
      </c>
      <c r="C688" t="s">
        <v>726</v>
      </c>
      <c r="E688" t="s">
        <v>612</v>
      </c>
      <c r="F688">
        <v>62</v>
      </c>
      <c r="G688">
        <v>1968</v>
      </c>
      <c r="H688">
        <v>319</v>
      </c>
      <c r="I688">
        <v>13.313000000000001</v>
      </c>
      <c r="J688">
        <v>396.68200000000002</v>
      </c>
      <c r="K688">
        <v>71</v>
      </c>
    </row>
    <row r="689" spans="1:11">
      <c r="A689">
        <v>24513</v>
      </c>
      <c r="B689" t="s">
        <v>1682</v>
      </c>
      <c r="C689" t="s">
        <v>1041</v>
      </c>
      <c r="D689" t="s">
        <v>91</v>
      </c>
      <c r="E689" t="s">
        <v>782</v>
      </c>
      <c r="F689">
        <v>90</v>
      </c>
      <c r="G689">
        <v>2007</v>
      </c>
      <c r="H689">
        <v>753</v>
      </c>
      <c r="I689">
        <v>0</v>
      </c>
      <c r="J689">
        <v>0</v>
      </c>
      <c r="K689">
        <v>0</v>
      </c>
    </row>
    <row r="690" spans="1:11">
      <c r="A690">
        <v>13084</v>
      </c>
      <c r="B690" t="s">
        <v>1216</v>
      </c>
      <c r="C690" t="s">
        <v>576</v>
      </c>
      <c r="E690" t="s">
        <v>501</v>
      </c>
      <c r="F690">
        <v>64</v>
      </c>
      <c r="G690">
        <v>1979</v>
      </c>
      <c r="H690">
        <v>560</v>
      </c>
      <c r="I690">
        <v>0.125</v>
      </c>
      <c r="J690">
        <v>31.167000000000002</v>
      </c>
      <c r="K690">
        <v>25</v>
      </c>
    </row>
    <row r="691" spans="1:11">
      <c r="A691">
        <v>22101</v>
      </c>
      <c r="B691" t="s">
        <v>1683</v>
      </c>
      <c r="C691" t="s">
        <v>633</v>
      </c>
      <c r="D691" t="s">
        <v>107</v>
      </c>
      <c r="E691" t="s">
        <v>592</v>
      </c>
      <c r="F691">
        <v>2</v>
      </c>
      <c r="G691">
        <v>1963</v>
      </c>
      <c r="H691">
        <v>284</v>
      </c>
      <c r="I691">
        <v>11.221</v>
      </c>
      <c r="J691">
        <v>531.02800000000002</v>
      </c>
      <c r="K691">
        <v>111</v>
      </c>
    </row>
    <row r="692" spans="1:11">
      <c r="A692">
        <v>21827</v>
      </c>
      <c r="B692" t="s">
        <v>1220</v>
      </c>
      <c r="C692" t="s">
        <v>554</v>
      </c>
      <c r="E692" t="s">
        <v>220</v>
      </c>
      <c r="F692">
        <v>36</v>
      </c>
      <c r="G692">
        <v>1978</v>
      </c>
      <c r="H692">
        <v>754</v>
      </c>
      <c r="I692">
        <v>0</v>
      </c>
      <c r="J692">
        <v>0</v>
      </c>
      <c r="K692">
        <v>0</v>
      </c>
    </row>
    <row r="693" spans="1:11">
      <c r="A693">
        <v>24501</v>
      </c>
      <c r="B693" t="s">
        <v>1220</v>
      </c>
      <c r="C693" t="s">
        <v>570</v>
      </c>
      <c r="D693" t="s">
        <v>91</v>
      </c>
      <c r="E693" t="s">
        <v>220</v>
      </c>
      <c r="F693">
        <v>36</v>
      </c>
      <c r="G693">
        <v>2009</v>
      </c>
      <c r="H693">
        <v>755</v>
      </c>
      <c r="I693">
        <v>0</v>
      </c>
      <c r="J693">
        <v>0</v>
      </c>
      <c r="K693">
        <v>0</v>
      </c>
    </row>
    <row r="694" spans="1:11">
      <c r="A694">
        <v>15006</v>
      </c>
      <c r="B694" t="s">
        <v>1221</v>
      </c>
      <c r="C694" t="s">
        <v>554</v>
      </c>
      <c r="E694" t="s">
        <v>650</v>
      </c>
      <c r="F694">
        <v>15</v>
      </c>
      <c r="G694">
        <v>1996</v>
      </c>
      <c r="H694">
        <v>756</v>
      </c>
      <c r="I694">
        <v>0</v>
      </c>
      <c r="J694">
        <v>0</v>
      </c>
      <c r="K694">
        <v>0</v>
      </c>
    </row>
    <row r="695" spans="1:11">
      <c r="A695">
        <v>18048</v>
      </c>
      <c r="B695" t="s">
        <v>1222</v>
      </c>
      <c r="C695" t="s">
        <v>667</v>
      </c>
      <c r="D695" t="s">
        <v>107</v>
      </c>
      <c r="E695" t="s">
        <v>650</v>
      </c>
      <c r="F695">
        <v>15</v>
      </c>
      <c r="G695">
        <v>1989</v>
      </c>
      <c r="H695">
        <v>757</v>
      </c>
      <c r="I695">
        <v>0</v>
      </c>
      <c r="J695">
        <v>0</v>
      </c>
      <c r="K695">
        <v>0</v>
      </c>
    </row>
    <row r="696" spans="1:11">
      <c r="A696">
        <v>21036</v>
      </c>
      <c r="B696" t="s">
        <v>1224</v>
      </c>
      <c r="C696" t="s">
        <v>552</v>
      </c>
      <c r="E696" t="s">
        <v>510</v>
      </c>
      <c r="F696">
        <v>88</v>
      </c>
      <c r="G696">
        <v>1968</v>
      </c>
      <c r="H696">
        <v>199</v>
      </c>
      <c r="I696">
        <v>20.437999999999999</v>
      </c>
      <c r="J696">
        <v>945.32899999999995</v>
      </c>
      <c r="K696">
        <v>287</v>
      </c>
    </row>
    <row r="697" spans="1:11">
      <c r="A697">
        <v>18067</v>
      </c>
      <c r="B697" t="s">
        <v>1224</v>
      </c>
      <c r="C697" t="s">
        <v>1225</v>
      </c>
      <c r="E697" t="s">
        <v>510</v>
      </c>
      <c r="F697">
        <v>88</v>
      </c>
      <c r="G697">
        <v>1974</v>
      </c>
      <c r="H697">
        <v>257</v>
      </c>
      <c r="I697">
        <v>14.095000000000001</v>
      </c>
      <c r="J697">
        <v>625.29399999999998</v>
      </c>
      <c r="K697">
        <v>114</v>
      </c>
    </row>
    <row r="698" spans="1:11">
      <c r="A698">
        <v>21027</v>
      </c>
      <c r="B698" t="s">
        <v>1684</v>
      </c>
      <c r="C698" t="s">
        <v>1685</v>
      </c>
      <c r="E698" t="s">
        <v>666</v>
      </c>
      <c r="F698">
        <v>87</v>
      </c>
      <c r="G698">
        <v>1956</v>
      </c>
      <c r="H698">
        <v>758</v>
      </c>
      <c r="I698">
        <v>0</v>
      </c>
      <c r="J698">
        <v>0</v>
      </c>
      <c r="K698">
        <v>0</v>
      </c>
    </row>
    <row r="699" spans="1:11">
      <c r="A699">
        <v>15067</v>
      </c>
      <c r="B699" t="s">
        <v>1226</v>
      </c>
      <c r="C699" t="s">
        <v>1227</v>
      </c>
      <c r="E699" t="s">
        <v>507</v>
      </c>
      <c r="F699">
        <v>20</v>
      </c>
      <c r="G699">
        <v>1978</v>
      </c>
      <c r="H699">
        <v>39</v>
      </c>
      <c r="I699">
        <v>31</v>
      </c>
      <c r="J699">
        <v>2486.3960000000002</v>
      </c>
      <c r="K699">
        <v>1049</v>
      </c>
    </row>
    <row r="700" spans="1:11">
      <c r="A700">
        <v>20603</v>
      </c>
      <c r="B700" t="s">
        <v>1228</v>
      </c>
      <c r="C700" t="s">
        <v>626</v>
      </c>
      <c r="E700" t="s">
        <v>597</v>
      </c>
      <c r="F700">
        <v>95</v>
      </c>
      <c r="G700">
        <v>1959</v>
      </c>
      <c r="H700">
        <v>759</v>
      </c>
      <c r="I700">
        <v>0</v>
      </c>
      <c r="J700">
        <v>0</v>
      </c>
      <c r="K700">
        <v>0</v>
      </c>
    </row>
    <row r="701" spans="1:11">
      <c r="A701">
        <v>20594</v>
      </c>
      <c r="B701" t="s">
        <v>1229</v>
      </c>
      <c r="C701" t="s">
        <v>578</v>
      </c>
      <c r="D701" t="s">
        <v>107</v>
      </c>
      <c r="E701" t="s">
        <v>597</v>
      </c>
      <c r="F701">
        <v>95</v>
      </c>
      <c r="G701">
        <v>1958</v>
      </c>
      <c r="H701">
        <v>760</v>
      </c>
      <c r="I701">
        <v>0</v>
      </c>
      <c r="J701">
        <v>0</v>
      </c>
      <c r="K701">
        <v>0</v>
      </c>
    </row>
    <row r="702" spans="1:11">
      <c r="A702">
        <v>23218</v>
      </c>
      <c r="B702" t="s">
        <v>1686</v>
      </c>
      <c r="C702" t="s">
        <v>582</v>
      </c>
      <c r="E702" t="s">
        <v>678</v>
      </c>
      <c r="F702">
        <v>54</v>
      </c>
      <c r="G702">
        <v>1954</v>
      </c>
      <c r="H702">
        <v>168</v>
      </c>
      <c r="I702">
        <v>18.687999999999999</v>
      </c>
      <c r="J702">
        <v>1126.1600000000001</v>
      </c>
      <c r="K702">
        <v>423</v>
      </c>
    </row>
    <row r="703" spans="1:11">
      <c r="A703">
        <v>20573</v>
      </c>
      <c r="B703" t="s">
        <v>1233</v>
      </c>
      <c r="C703" t="s">
        <v>616</v>
      </c>
      <c r="D703" t="s">
        <v>107</v>
      </c>
      <c r="E703" t="s">
        <v>708</v>
      </c>
      <c r="F703">
        <v>66</v>
      </c>
      <c r="G703">
        <v>1965</v>
      </c>
      <c r="H703">
        <v>175</v>
      </c>
      <c r="I703">
        <v>22.564</v>
      </c>
      <c r="J703">
        <v>1067.1030000000001</v>
      </c>
      <c r="K703">
        <v>396</v>
      </c>
    </row>
    <row r="704" spans="1:11">
      <c r="A704">
        <v>20534</v>
      </c>
      <c r="B704" t="s">
        <v>1234</v>
      </c>
      <c r="C704" t="s">
        <v>790</v>
      </c>
      <c r="D704" t="s">
        <v>107</v>
      </c>
      <c r="E704" t="s">
        <v>666</v>
      </c>
      <c r="F704">
        <v>87</v>
      </c>
      <c r="G704">
        <v>1956</v>
      </c>
      <c r="H704">
        <v>132</v>
      </c>
      <c r="I704">
        <v>22.187999999999999</v>
      </c>
      <c r="J704">
        <v>1404.73</v>
      </c>
      <c r="K704">
        <v>610</v>
      </c>
    </row>
    <row r="705" spans="1:11">
      <c r="A705">
        <v>15078</v>
      </c>
      <c r="B705" t="s">
        <v>1235</v>
      </c>
      <c r="C705" t="s">
        <v>576</v>
      </c>
      <c r="E705" t="s">
        <v>515</v>
      </c>
      <c r="F705">
        <v>13</v>
      </c>
      <c r="G705">
        <v>1983</v>
      </c>
      <c r="H705">
        <v>363</v>
      </c>
      <c r="I705">
        <v>8.157</v>
      </c>
      <c r="J705">
        <v>285.834</v>
      </c>
      <c r="K705">
        <v>59</v>
      </c>
    </row>
    <row r="706" spans="1:11">
      <c r="A706">
        <v>24502</v>
      </c>
      <c r="B706" t="s">
        <v>1236</v>
      </c>
      <c r="C706" t="s">
        <v>590</v>
      </c>
      <c r="D706" t="s">
        <v>107</v>
      </c>
      <c r="E706" t="s">
        <v>1418</v>
      </c>
      <c r="F706">
        <v>98</v>
      </c>
      <c r="G706">
        <v>1971</v>
      </c>
      <c r="H706">
        <v>431</v>
      </c>
      <c r="I706">
        <v>4.3440000000000003</v>
      </c>
      <c r="J706">
        <v>164.81200000000001</v>
      </c>
      <c r="K706">
        <v>0</v>
      </c>
    </row>
    <row r="707" spans="1:11">
      <c r="A707">
        <v>18104</v>
      </c>
      <c r="B707" t="s">
        <v>1236</v>
      </c>
      <c r="C707" t="s">
        <v>563</v>
      </c>
      <c r="D707" t="s">
        <v>107</v>
      </c>
      <c r="E707" t="s">
        <v>501</v>
      </c>
      <c r="F707">
        <v>64</v>
      </c>
      <c r="G707">
        <v>1978</v>
      </c>
      <c r="H707">
        <v>277</v>
      </c>
      <c r="I707">
        <v>12.875999999999999</v>
      </c>
      <c r="J707">
        <v>577.41200000000003</v>
      </c>
      <c r="K707">
        <v>75</v>
      </c>
    </row>
    <row r="708" spans="1:11">
      <c r="A708">
        <v>23237</v>
      </c>
      <c r="B708" t="s">
        <v>1687</v>
      </c>
      <c r="C708" t="s">
        <v>828</v>
      </c>
      <c r="D708" t="s">
        <v>107</v>
      </c>
      <c r="E708" t="s">
        <v>1418</v>
      </c>
      <c r="F708">
        <v>98</v>
      </c>
      <c r="G708">
        <v>1962</v>
      </c>
      <c r="H708">
        <v>253</v>
      </c>
      <c r="I708">
        <v>17.282</v>
      </c>
      <c r="J708">
        <v>632.471</v>
      </c>
      <c r="K708">
        <v>54</v>
      </c>
    </row>
    <row r="709" spans="1:11">
      <c r="A709">
        <v>22116</v>
      </c>
      <c r="B709" t="s">
        <v>1688</v>
      </c>
      <c r="C709" t="s">
        <v>602</v>
      </c>
      <c r="E709" t="s">
        <v>553</v>
      </c>
      <c r="F709">
        <v>79</v>
      </c>
      <c r="G709">
        <v>1988</v>
      </c>
      <c r="H709">
        <v>543</v>
      </c>
      <c r="I709">
        <v>0.56299999999999994</v>
      </c>
      <c r="J709">
        <v>44.183999999999997</v>
      </c>
      <c r="K709">
        <v>23</v>
      </c>
    </row>
    <row r="710" spans="1:11">
      <c r="A710">
        <v>20612</v>
      </c>
      <c r="B710" t="s">
        <v>1243</v>
      </c>
      <c r="C710" t="s">
        <v>582</v>
      </c>
      <c r="E710" t="s">
        <v>597</v>
      </c>
      <c r="F710">
        <v>95</v>
      </c>
      <c r="G710">
        <v>1967</v>
      </c>
      <c r="H710">
        <v>761</v>
      </c>
      <c r="I710">
        <v>0</v>
      </c>
      <c r="J710">
        <v>0</v>
      </c>
      <c r="K710">
        <v>0</v>
      </c>
    </row>
    <row r="711" spans="1:11">
      <c r="A711">
        <v>13024</v>
      </c>
      <c r="B711" t="s">
        <v>1245</v>
      </c>
      <c r="C711" t="s">
        <v>927</v>
      </c>
      <c r="D711" t="s">
        <v>107</v>
      </c>
      <c r="E711" t="s">
        <v>630</v>
      </c>
      <c r="F711">
        <v>75</v>
      </c>
      <c r="G711">
        <v>1985</v>
      </c>
      <c r="H711">
        <v>762</v>
      </c>
      <c r="I711">
        <v>0</v>
      </c>
      <c r="J711">
        <v>0</v>
      </c>
      <c r="K711">
        <v>0</v>
      </c>
    </row>
    <row r="712" spans="1:11">
      <c r="A712">
        <v>20505</v>
      </c>
      <c r="B712" t="s">
        <v>1247</v>
      </c>
      <c r="C712" t="s">
        <v>1238</v>
      </c>
      <c r="D712" t="s">
        <v>107</v>
      </c>
      <c r="E712" t="s">
        <v>507</v>
      </c>
      <c r="F712">
        <v>20</v>
      </c>
      <c r="G712">
        <v>2006</v>
      </c>
      <c r="H712">
        <v>53</v>
      </c>
      <c r="I712">
        <v>30.812999999999999</v>
      </c>
      <c r="J712">
        <v>2265.953</v>
      </c>
      <c r="K712">
        <v>952</v>
      </c>
    </row>
    <row r="713" spans="1:11">
      <c r="A713">
        <v>15058</v>
      </c>
      <c r="B713" t="s">
        <v>1248</v>
      </c>
      <c r="C713" t="s">
        <v>577</v>
      </c>
      <c r="E713" t="s">
        <v>507</v>
      </c>
      <c r="F713">
        <v>20</v>
      </c>
      <c r="G713">
        <v>2004</v>
      </c>
      <c r="H713">
        <v>17</v>
      </c>
      <c r="I713">
        <v>40.625</v>
      </c>
      <c r="J713">
        <v>3189.9830000000002</v>
      </c>
      <c r="K713">
        <v>1518</v>
      </c>
    </row>
    <row r="714" spans="1:11">
      <c r="A714">
        <v>24503</v>
      </c>
      <c r="B714" t="s">
        <v>1689</v>
      </c>
      <c r="C714" t="s">
        <v>615</v>
      </c>
      <c r="E714" t="s">
        <v>1418</v>
      </c>
      <c r="F714">
        <v>98</v>
      </c>
      <c r="G714">
        <v>1971</v>
      </c>
      <c r="H714">
        <v>763</v>
      </c>
      <c r="I714">
        <v>0</v>
      </c>
      <c r="J714">
        <v>0</v>
      </c>
      <c r="K714">
        <v>0</v>
      </c>
    </row>
    <row r="715" spans="1:11">
      <c r="A715">
        <v>19050</v>
      </c>
      <c r="B715" t="s">
        <v>1251</v>
      </c>
      <c r="C715" t="s">
        <v>545</v>
      </c>
      <c r="D715" t="s">
        <v>107</v>
      </c>
      <c r="E715" t="s">
        <v>546</v>
      </c>
      <c r="F715">
        <v>86</v>
      </c>
      <c r="G715">
        <v>1992</v>
      </c>
      <c r="H715">
        <v>764</v>
      </c>
      <c r="I715">
        <v>0</v>
      </c>
      <c r="J715">
        <v>0</v>
      </c>
      <c r="K715">
        <v>0</v>
      </c>
    </row>
    <row r="716" spans="1:11">
      <c r="A716">
        <v>10098</v>
      </c>
      <c r="B716" t="s">
        <v>1252</v>
      </c>
      <c r="C716" t="s">
        <v>1253</v>
      </c>
      <c r="E716" t="s">
        <v>584</v>
      </c>
      <c r="F716">
        <v>69</v>
      </c>
      <c r="G716">
        <v>1959</v>
      </c>
      <c r="H716">
        <v>765</v>
      </c>
      <c r="I716">
        <v>0</v>
      </c>
      <c r="J716">
        <v>0</v>
      </c>
      <c r="K716">
        <v>0</v>
      </c>
    </row>
    <row r="717" spans="1:11">
      <c r="A717">
        <v>17052</v>
      </c>
      <c r="B717" t="s">
        <v>1254</v>
      </c>
      <c r="C717" t="s">
        <v>552</v>
      </c>
      <c r="E717" t="s">
        <v>546</v>
      </c>
      <c r="F717">
        <v>86</v>
      </c>
      <c r="G717">
        <v>1962</v>
      </c>
      <c r="H717">
        <v>159</v>
      </c>
      <c r="I717">
        <v>20.126000000000001</v>
      </c>
      <c r="J717">
        <v>1198.2070000000001</v>
      </c>
      <c r="K717">
        <v>353</v>
      </c>
    </row>
    <row r="718" spans="1:11">
      <c r="A718">
        <v>17055</v>
      </c>
      <c r="B718" t="s">
        <v>1254</v>
      </c>
      <c r="C718" t="s">
        <v>694</v>
      </c>
      <c r="E718" t="s">
        <v>546</v>
      </c>
      <c r="F718">
        <v>86</v>
      </c>
      <c r="G718">
        <v>2000</v>
      </c>
      <c r="H718">
        <v>232</v>
      </c>
      <c r="I718">
        <v>11.625999999999999</v>
      </c>
      <c r="J718">
        <v>752.197</v>
      </c>
      <c r="K718">
        <v>281</v>
      </c>
    </row>
    <row r="719" spans="1:11">
      <c r="A719">
        <v>16144</v>
      </c>
      <c r="B719" t="s">
        <v>1254</v>
      </c>
      <c r="C719" t="s">
        <v>644</v>
      </c>
      <c r="E719" t="s">
        <v>546</v>
      </c>
      <c r="F719">
        <v>86</v>
      </c>
      <c r="G719">
        <v>1992</v>
      </c>
      <c r="H719">
        <v>163</v>
      </c>
      <c r="I719">
        <v>16.515999999999998</v>
      </c>
      <c r="J719">
        <v>1165.386</v>
      </c>
      <c r="K719">
        <v>426</v>
      </c>
    </row>
    <row r="720" spans="1:11">
      <c r="A720">
        <v>24536</v>
      </c>
      <c r="B720" t="s">
        <v>1690</v>
      </c>
      <c r="C720" t="s">
        <v>565</v>
      </c>
      <c r="E720" t="s">
        <v>792</v>
      </c>
      <c r="F720">
        <v>93</v>
      </c>
      <c r="G720">
        <v>1958</v>
      </c>
      <c r="H720">
        <v>590</v>
      </c>
      <c r="I720">
        <v>0.34399999999999997</v>
      </c>
      <c r="J720">
        <v>14.753</v>
      </c>
      <c r="K720">
        <v>0</v>
      </c>
    </row>
    <row r="721" spans="1:11">
      <c r="A721">
        <v>28036</v>
      </c>
      <c r="B721" t="s">
        <v>1256</v>
      </c>
      <c r="C721" t="s">
        <v>1691</v>
      </c>
      <c r="E721" t="s">
        <v>156</v>
      </c>
      <c r="F721">
        <v>6</v>
      </c>
      <c r="G721">
        <v>1943</v>
      </c>
      <c r="H721">
        <v>766</v>
      </c>
      <c r="I721">
        <v>0</v>
      </c>
      <c r="J721">
        <v>0</v>
      </c>
      <c r="K721">
        <v>0</v>
      </c>
    </row>
    <row r="722" spans="1:11">
      <c r="A722">
        <v>14090</v>
      </c>
      <c r="B722" t="s">
        <v>1258</v>
      </c>
      <c r="C722" t="s">
        <v>1259</v>
      </c>
      <c r="E722" t="s">
        <v>553</v>
      </c>
      <c r="F722">
        <v>79</v>
      </c>
      <c r="G722">
        <v>1987</v>
      </c>
      <c r="H722">
        <v>767</v>
      </c>
      <c r="I722">
        <v>0</v>
      </c>
      <c r="J722">
        <v>0</v>
      </c>
      <c r="K722">
        <v>0</v>
      </c>
    </row>
    <row r="723" spans="1:11">
      <c r="A723">
        <v>24522</v>
      </c>
      <c r="B723" t="s">
        <v>1692</v>
      </c>
      <c r="C723" t="s">
        <v>1145</v>
      </c>
      <c r="E723" t="s">
        <v>513</v>
      </c>
      <c r="F723">
        <v>1</v>
      </c>
      <c r="G723">
        <v>1967</v>
      </c>
      <c r="H723">
        <v>768</v>
      </c>
      <c r="I723">
        <v>0</v>
      </c>
      <c r="J723">
        <v>0</v>
      </c>
      <c r="K723">
        <v>0</v>
      </c>
    </row>
    <row r="724" spans="1:11">
      <c r="A724">
        <v>10094</v>
      </c>
      <c r="B724" t="s">
        <v>1263</v>
      </c>
      <c r="C724" t="s">
        <v>726</v>
      </c>
      <c r="E724" t="s">
        <v>584</v>
      </c>
      <c r="F724">
        <v>69</v>
      </c>
      <c r="G724">
        <v>1949</v>
      </c>
      <c r="H724">
        <v>451</v>
      </c>
      <c r="I724">
        <v>4.1890000000000001</v>
      </c>
      <c r="J724">
        <v>145.06</v>
      </c>
      <c r="K724">
        <v>35</v>
      </c>
    </row>
    <row r="725" spans="1:11">
      <c r="A725">
        <v>11037</v>
      </c>
      <c r="B725" t="s">
        <v>1265</v>
      </c>
      <c r="C725" t="s">
        <v>1266</v>
      </c>
      <c r="E725" t="s">
        <v>513</v>
      </c>
      <c r="F725">
        <v>1</v>
      </c>
      <c r="G725">
        <v>1983</v>
      </c>
      <c r="H725">
        <v>145</v>
      </c>
      <c r="I725">
        <v>19.297000000000001</v>
      </c>
      <c r="J725">
        <v>1291.115</v>
      </c>
      <c r="K725">
        <v>436</v>
      </c>
    </row>
    <row r="726" spans="1:11">
      <c r="A726">
        <v>14094</v>
      </c>
      <c r="B726" t="s">
        <v>1269</v>
      </c>
      <c r="C726" t="s">
        <v>626</v>
      </c>
      <c r="E726" t="s">
        <v>163</v>
      </c>
      <c r="F726">
        <v>43</v>
      </c>
      <c r="G726">
        <v>1954</v>
      </c>
      <c r="H726">
        <v>325</v>
      </c>
      <c r="I726">
        <v>8.6560000000000006</v>
      </c>
      <c r="J726">
        <v>365.80700000000002</v>
      </c>
      <c r="K726">
        <v>54</v>
      </c>
    </row>
    <row r="727" spans="1:11">
      <c r="A727">
        <v>23060</v>
      </c>
      <c r="B727" t="s">
        <v>1270</v>
      </c>
      <c r="C727" t="s">
        <v>608</v>
      </c>
      <c r="E727" t="s">
        <v>504</v>
      </c>
      <c r="F727">
        <v>63</v>
      </c>
      <c r="G727">
        <v>1954</v>
      </c>
      <c r="H727">
        <v>61</v>
      </c>
      <c r="I727">
        <v>29</v>
      </c>
      <c r="J727">
        <v>2166.8670000000002</v>
      </c>
      <c r="K727">
        <v>1088</v>
      </c>
    </row>
    <row r="728" spans="1:11">
      <c r="A728">
        <v>16004</v>
      </c>
      <c r="B728" t="s">
        <v>1273</v>
      </c>
      <c r="C728" t="s">
        <v>694</v>
      </c>
      <c r="E728" t="s">
        <v>504</v>
      </c>
      <c r="F728">
        <v>63</v>
      </c>
      <c r="G728">
        <v>2003</v>
      </c>
      <c r="H728">
        <v>459</v>
      </c>
      <c r="I728">
        <v>3.875</v>
      </c>
      <c r="J728">
        <v>139.304</v>
      </c>
      <c r="K728">
        <v>0</v>
      </c>
    </row>
    <row r="729" spans="1:11">
      <c r="A729">
        <v>13047</v>
      </c>
      <c r="B729" t="s">
        <v>1275</v>
      </c>
      <c r="C729" t="s">
        <v>545</v>
      </c>
      <c r="E729" t="s">
        <v>621</v>
      </c>
      <c r="F729">
        <v>28</v>
      </c>
      <c r="G729">
        <v>1957</v>
      </c>
      <c r="H729">
        <v>301</v>
      </c>
      <c r="I729">
        <v>12.689</v>
      </c>
      <c r="J729">
        <v>451.43900000000002</v>
      </c>
      <c r="K729">
        <v>0</v>
      </c>
    </row>
    <row r="730" spans="1:11">
      <c r="A730">
        <v>11031</v>
      </c>
      <c r="B730" t="s">
        <v>1276</v>
      </c>
      <c r="C730" t="s">
        <v>554</v>
      </c>
      <c r="E730" t="s">
        <v>592</v>
      </c>
      <c r="F730">
        <v>2</v>
      </c>
      <c r="G730">
        <v>1966</v>
      </c>
      <c r="H730">
        <v>134</v>
      </c>
      <c r="I730">
        <v>25.187999999999999</v>
      </c>
      <c r="J730">
        <v>1387.223</v>
      </c>
      <c r="K730">
        <v>437</v>
      </c>
    </row>
    <row r="731" spans="1:11">
      <c r="A731">
        <v>23244</v>
      </c>
      <c r="B731" t="s">
        <v>1280</v>
      </c>
      <c r="C731" t="s">
        <v>582</v>
      </c>
      <c r="E731" t="s">
        <v>216</v>
      </c>
      <c r="F731">
        <v>33</v>
      </c>
      <c r="G731">
        <v>1962</v>
      </c>
      <c r="H731">
        <v>506</v>
      </c>
      <c r="I731">
        <v>2.0939999999999999</v>
      </c>
      <c r="J731">
        <v>83.22</v>
      </c>
      <c r="K731">
        <v>0</v>
      </c>
    </row>
    <row r="732" spans="1:11">
      <c r="A732">
        <v>22012</v>
      </c>
      <c r="B732" t="s">
        <v>1281</v>
      </c>
      <c r="C732" t="s">
        <v>552</v>
      </c>
      <c r="E732" t="s">
        <v>163</v>
      </c>
      <c r="F732">
        <v>43</v>
      </c>
      <c r="G732">
        <v>1980</v>
      </c>
      <c r="H732">
        <v>769</v>
      </c>
      <c r="I732">
        <v>0</v>
      </c>
      <c r="J732">
        <v>0</v>
      </c>
      <c r="K732">
        <v>0</v>
      </c>
    </row>
    <row r="733" spans="1:11">
      <c r="A733">
        <v>24281</v>
      </c>
      <c r="B733" t="s">
        <v>1281</v>
      </c>
      <c r="C733" t="s">
        <v>552</v>
      </c>
      <c r="E733" t="s">
        <v>164</v>
      </c>
      <c r="F733">
        <v>52</v>
      </c>
      <c r="G733">
        <v>1969</v>
      </c>
      <c r="H733">
        <v>458</v>
      </c>
      <c r="I733">
        <v>3.4380000000000002</v>
      </c>
      <c r="J733">
        <v>140.464</v>
      </c>
      <c r="K733">
        <v>0</v>
      </c>
    </row>
    <row r="734" spans="1:11">
      <c r="A734">
        <v>21795</v>
      </c>
      <c r="B734" t="s">
        <v>1283</v>
      </c>
      <c r="C734" t="s">
        <v>647</v>
      </c>
      <c r="E734" t="s">
        <v>571</v>
      </c>
      <c r="F734">
        <v>27</v>
      </c>
      <c r="G734">
        <v>1956</v>
      </c>
      <c r="H734">
        <v>429</v>
      </c>
      <c r="I734">
        <v>2.9060000000000001</v>
      </c>
      <c r="J734">
        <v>165.19200000000001</v>
      </c>
      <c r="K734">
        <v>39</v>
      </c>
    </row>
    <row r="735" spans="1:11">
      <c r="A735">
        <v>24504</v>
      </c>
      <c r="B735" t="s">
        <v>1693</v>
      </c>
      <c r="C735" t="s">
        <v>559</v>
      </c>
      <c r="E735" t="s">
        <v>1349</v>
      </c>
      <c r="F735">
        <v>96</v>
      </c>
      <c r="G735">
        <v>1978</v>
      </c>
      <c r="H735">
        <v>352</v>
      </c>
      <c r="I735">
        <v>8.9380000000000006</v>
      </c>
      <c r="J735">
        <v>309.8</v>
      </c>
      <c r="K735">
        <v>0</v>
      </c>
    </row>
    <row r="736" spans="1:11">
      <c r="A736">
        <v>18082</v>
      </c>
      <c r="B736" t="s">
        <v>1288</v>
      </c>
      <c r="C736" t="s">
        <v>568</v>
      </c>
      <c r="E736" t="s">
        <v>505</v>
      </c>
      <c r="F736">
        <v>89</v>
      </c>
      <c r="G736">
        <v>1962</v>
      </c>
      <c r="H736">
        <v>556</v>
      </c>
      <c r="I736">
        <v>1</v>
      </c>
      <c r="J736">
        <v>32.798999999999999</v>
      </c>
      <c r="K736">
        <v>0</v>
      </c>
    </row>
    <row r="737" spans="1:11">
      <c r="A737">
        <v>16010</v>
      </c>
      <c r="B737" t="s">
        <v>1292</v>
      </c>
      <c r="C737" t="s">
        <v>759</v>
      </c>
      <c r="D737" t="s">
        <v>107</v>
      </c>
      <c r="E737" t="s">
        <v>507</v>
      </c>
      <c r="F737">
        <v>20</v>
      </c>
      <c r="G737">
        <v>1962</v>
      </c>
      <c r="H737">
        <v>158</v>
      </c>
      <c r="I737">
        <v>14.156000000000001</v>
      </c>
      <c r="J737">
        <v>1198.2339999999999</v>
      </c>
      <c r="K737">
        <v>533</v>
      </c>
    </row>
    <row r="738" spans="1:11">
      <c r="A738">
        <v>99600</v>
      </c>
      <c r="B738" t="s">
        <v>1293</v>
      </c>
      <c r="C738" t="s">
        <v>568</v>
      </c>
      <c r="E738" t="s">
        <v>200</v>
      </c>
      <c r="F738">
        <v>19</v>
      </c>
      <c r="G738">
        <v>1966</v>
      </c>
      <c r="H738">
        <v>350</v>
      </c>
      <c r="I738">
        <v>6.875</v>
      </c>
      <c r="J738">
        <v>314.83100000000002</v>
      </c>
      <c r="K738">
        <v>80</v>
      </c>
    </row>
    <row r="739" spans="1:11">
      <c r="A739">
        <v>15080</v>
      </c>
      <c r="B739" t="s">
        <v>1294</v>
      </c>
      <c r="C739" t="s">
        <v>745</v>
      </c>
      <c r="E739" t="s">
        <v>515</v>
      </c>
      <c r="F739">
        <v>13</v>
      </c>
      <c r="G739">
        <v>1983</v>
      </c>
      <c r="H739">
        <v>364</v>
      </c>
      <c r="I739">
        <v>8.157</v>
      </c>
      <c r="J739">
        <v>285.834</v>
      </c>
      <c r="K739">
        <v>59</v>
      </c>
    </row>
    <row r="740" spans="1:11">
      <c r="A740">
        <v>97297</v>
      </c>
      <c r="B740" t="s">
        <v>1295</v>
      </c>
      <c r="C740" t="s">
        <v>554</v>
      </c>
      <c r="E740" t="s">
        <v>198</v>
      </c>
      <c r="F740">
        <v>17</v>
      </c>
      <c r="G740">
        <v>1959</v>
      </c>
      <c r="H740">
        <v>770</v>
      </c>
      <c r="I740">
        <v>0</v>
      </c>
      <c r="J740">
        <v>0</v>
      </c>
      <c r="K740">
        <v>0</v>
      </c>
    </row>
    <row r="741" spans="1:11">
      <c r="A741">
        <v>99537</v>
      </c>
      <c r="B741" t="s">
        <v>1295</v>
      </c>
      <c r="C741" t="s">
        <v>577</v>
      </c>
      <c r="E741" t="s">
        <v>198</v>
      </c>
      <c r="F741">
        <v>17</v>
      </c>
      <c r="G741">
        <v>1986</v>
      </c>
      <c r="H741">
        <v>771</v>
      </c>
      <c r="I741">
        <v>0</v>
      </c>
      <c r="J741">
        <v>0</v>
      </c>
      <c r="K741">
        <v>0</v>
      </c>
    </row>
    <row r="742" spans="1:11">
      <c r="A742">
        <v>21813</v>
      </c>
      <c r="B742" t="s">
        <v>1296</v>
      </c>
      <c r="C742" t="s">
        <v>556</v>
      </c>
      <c r="D742" t="s">
        <v>107</v>
      </c>
      <c r="E742" t="s">
        <v>198</v>
      </c>
      <c r="F742">
        <v>17</v>
      </c>
      <c r="G742">
        <v>1988</v>
      </c>
      <c r="H742">
        <v>772</v>
      </c>
      <c r="I742">
        <v>0</v>
      </c>
      <c r="J742">
        <v>0</v>
      </c>
      <c r="K742">
        <v>0</v>
      </c>
    </row>
    <row r="743" spans="1:11">
      <c r="A743">
        <v>22114</v>
      </c>
      <c r="B743" t="s">
        <v>1694</v>
      </c>
      <c r="C743" t="s">
        <v>594</v>
      </c>
      <c r="D743" t="s">
        <v>107</v>
      </c>
      <c r="E743" t="s">
        <v>599</v>
      </c>
      <c r="F743">
        <v>73</v>
      </c>
      <c r="G743">
        <v>1955</v>
      </c>
      <c r="H743">
        <v>453</v>
      </c>
      <c r="I743">
        <v>2.5</v>
      </c>
      <c r="J743">
        <v>143.91200000000001</v>
      </c>
      <c r="K743">
        <v>33</v>
      </c>
    </row>
    <row r="744" spans="1:11">
      <c r="A744">
        <v>18109</v>
      </c>
      <c r="B744" t="s">
        <v>1297</v>
      </c>
      <c r="C744" t="s">
        <v>552</v>
      </c>
      <c r="E744" t="s">
        <v>782</v>
      </c>
      <c r="F744">
        <v>90</v>
      </c>
      <c r="G744">
        <v>1986</v>
      </c>
      <c r="H744">
        <v>60</v>
      </c>
      <c r="I744">
        <v>32.5</v>
      </c>
      <c r="J744">
        <v>2177.3850000000002</v>
      </c>
      <c r="K744">
        <v>897</v>
      </c>
    </row>
    <row r="745" spans="1:11">
      <c r="A745">
        <v>20569</v>
      </c>
      <c r="B745" t="s">
        <v>1297</v>
      </c>
      <c r="C745" t="s">
        <v>671</v>
      </c>
      <c r="E745" t="s">
        <v>782</v>
      </c>
      <c r="F745">
        <v>90</v>
      </c>
      <c r="G745">
        <v>1994</v>
      </c>
      <c r="H745">
        <v>389</v>
      </c>
      <c r="I745">
        <v>2.9689999999999999</v>
      </c>
      <c r="J745">
        <v>232.57900000000001</v>
      </c>
      <c r="K745">
        <v>117</v>
      </c>
    </row>
    <row r="746" spans="1:11">
      <c r="A746">
        <v>19058</v>
      </c>
      <c r="B746" t="s">
        <v>1298</v>
      </c>
      <c r="C746" t="s">
        <v>814</v>
      </c>
      <c r="D746" t="s">
        <v>657</v>
      </c>
      <c r="E746" t="s">
        <v>782</v>
      </c>
      <c r="F746">
        <v>90</v>
      </c>
      <c r="G746">
        <v>2010</v>
      </c>
      <c r="H746">
        <v>150</v>
      </c>
      <c r="I746">
        <v>19.407</v>
      </c>
      <c r="J746">
        <v>1272.443</v>
      </c>
      <c r="K746">
        <v>446</v>
      </c>
    </row>
    <row r="747" spans="1:11">
      <c r="A747">
        <v>21071</v>
      </c>
      <c r="B747" t="s">
        <v>1300</v>
      </c>
      <c r="C747" t="s">
        <v>633</v>
      </c>
      <c r="D747" t="s">
        <v>657</v>
      </c>
      <c r="E747" t="s">
        <v>505</v>
      </c>
      <c r="F747">
        <v>89</v>
      </c>
      <c r="G747">
        <v>2010</v>
      </c>
      <c r="H747">
        <v>252</v>
      </c>
      <c r="I747">
        <v>10.859</v>
      </c>
      <c r="J747">
        <v>632.58100000000002</v>
      </c>
      <c r="K747">
        <v>227</v>
      </c>
    </row>
    <row r="748" spans="1:11">
      <c r="A748">
        <v>18135</v>
      </c>
      <c r="B748" t="s">
        <v>1302</v>
      </c>
      <c r="C748" t="s">
        <v>690</v>
      </c>
      <c r="D748" t="s">
        <v>107</v>
      </c>
      <c r="E748" t="s">
        <v>513</v>
      </c>
      <c r="F748">
        <v>1</v>
      </c>
      <c r="G748">
        <v>1967</v>
      </c>
      <c r="H748">
        <v>468</v>
      </c>
      <c r="I748">
        <v>3.875</v>
      </c>
      <c r="J748">
        <v>128.48699999999999</v>
      </c>
      <c r="K748">
        <v>0</v>
      </c>
    </row>
    <row r="749" spans="1:11">
      <c r="A749">
        <v>24532</v>
      </c>
      <c r="B749" t="s">
        <v>896</v>
      </c>
      <c r="C749" t="s">
        <v>582</v>
      </c>
      <c r="E749" t="s">
        <v>1583</v>
      </c>
      <c r="F749">
        <v>101</v>
      </c>
      <c r="G749">
        <v>1987</v>
      </c>
      <c r="H749">
        <v>520</v>
      </c>
      <c r="I749">
        <v>2.125</v>
      </c>
      <c r="J749">
        <v>67.197999999999993</v>
      </c>
      <c r="K749">
        <v>0</v>
      </c>
    </row>
    <row r="750" spans="1:11">
      <c r="A750">
        <v>21050</v>
      </c>
      <c r="B750" t="s">
        <v>1303</v>
      </c>
      <c r="C750" t="s">
        <v>577</v>
      </c>
      <c r="E750" t="s">
        <v>571</v>
      </c>
      <c r="F750">
        <v>27</v>
      </c>
      <c r="G750">
        <v>1987</v>
      </c>
      <c r="H750">
        <v>78</v>
      </c>
      <c r="I750">
        <v>41.25</v>
      </c>
      <c r="J750">
        <v>1987.1569999999999</v>
      </c>
      <c r="K750">
        <v>481</v>
      </c>
    </row>
    <row r="751" spans="1:11">
      <c r="A751">
        <v>96030</v>
      </c>
      <c r="B751" t="s">
        <v>1303</v>
      </c>
      <c r="C751" t="s">
        <v>582</v>
      </c>
      <c r="E751" t="s">
        <v>513</v>
      </c>
      <c r="F751">
        <v>1</v>
      </c>
      <c r="G751">
        <v>1950</v>
      </c>
      <c r="H751">
        <v>524</v>
      </c>
      <c r="I751">
        <v>2.5</v>
      </c>
      <c r="J751">
        <v>64.007999999999996</v>
      </c>
      <c r="K751">
        <v>0</v>
      </c>
    </row>
    <row r="752" spans="1:11">
      <c r="A752">
        <v>18061</v>
      </c>
      <c r="B752" t="s">
        <v>1304</v>
      </c>
      <c r="C752" t="s">
        <v>887</v>
      </c>
      <c r="D752" t="s">
        <v>107</v>
      </c>
      <c r="E752" t="s">
        <v>513</v>
      </c>
      <c r="F752">
        <v>1</v>
      </c>
      <c r="G752">
        <v>1957</v>
      </c>
      <c r="H752">
        <v>525</v>
      </c>
      <c r="I752">
        <v>2.5</v>
      </c>
      <c r="J752">
        <v>64.007999999999996</v>
      </c>
      <c r="K752">
        <v>0</v>
      </c>
    </row>
    <row r="753" spans="1:11">
      <c r="A753">
        <v>24533</v>
      </c>
      <c r="B753" t="s">
        <v>1695</v>
      </c>
      <c r="C753" t="s">
        <v>633</v>
      </c>
      <c r="D753" t="s">
        <v>107</v>
      </c>
      <c r="E753" t="s">
        <v>1583</v>
      </c>
      <c r="F753">
        <v>101</v>
      </c>
      <c r="G753">
        <v>1965</v>
      </c>
      <c r="H753">
        <v>773</v>
      </c>
      <c r="I753">
        <v>0</v>
      </c>
      <c r="J753">
        <v>0</v>
      </c>
      <c r="K753">
        <v>0</v>
      </c>
    </row>
    <row r="754" spans="1:11">
      <c r="A754">
        <v>18052</v>
      </c>
      <c r="B754" t="s">
        <v>1307</v>
      </c>
      <c r="C754" t="s">
        <v>626</v>
      </c>
      <c r="E754" t="s">
        <v>765</v>
      </c>
      <c r="F754">
        <v>56</v>
      </c>
      <c r="G754">
        <v>1964</v>
      </c>
      <c r="H754">
        <v>298</v>
      </c>
      <c r="I754">
        <v>10.968999999999999</v>
      </c>
      <c r="J754">
        <v>459.97800000000001</v>
      </c>
      <c r="K754">
        <v>43</v>
      </c>
    </row>
    <row r="755" spans="1:11">
      <c r="A755">
        <v>23206</v>
      </c>
      <c r="B755" t="s">
        <v>1696</v>
      </c>
      <c r="C755" t="s">
        <v>602</v>
      </c>
      <c r="E755" t="s">
        <v>792</v>
      </c>
      <c r="F755">
        <v>93</v>
      </c>
      <c r="G755">
        <v>2006</v>
      </c>
      <c r="H755">
        <v>774</v>
      </c>
      <c r="I755">
        <v>0</v>
      </c>
      <c r="J755">
        <v>0</v>
      </c>
      <c r="K755">
        <v>0</v>
      </c>
    </row>
    <row r="756" spans="1:11">
      <c r="A756">
        <v>23207</v>
      </c>
      <c r="B756" t="s">
        <v>1697</v>
      </c>
      <c r="C756" t="s">
        <v>896</v>
      </c>
      <c r="D756" t="s">
        <v>91</v>
      </c>
      <c r="E756" t="s">
        <v>792</v>
      </c>
      <c r="F756">
        <v>93</v>
      </c>
      <c r="G756">
        <v>2007</v>
      </c>
      <c r="H756">
        <v>775</v>
      </c>
      <c r="I756">
        <v>0</v>
      </c>
      <c r="J756">
        <v>0</v>
      </c>
      <c r="K756">
        <v>0</v>
      </c>
    </row>
    <row r="757" spans="1:11">
      <c r="A757">
        <v>15075</v>
      </c>
      <c r="B757" t="s">
        <v>1311</v>
      </c>
      <c r="C757" t="s">
        <v>605</v>
      </c>
      <c r="D757" t="s">
        <v>107</v>
      </c>
      <c r="E757" t="s">
        <v>513</v>
      </c>
      <c r="F757">
        <v>1</v>
      </c>
      <c r="G757">
        <v>1956</v>
      </c>
      <c r="H757">
        <v>386</v>
      </c>
      <c r="I757">
        <v>6.5949999999999998</v>
      </c>
      <c r="J757">
        <v>238.97</v>
      </c>
      <c r="K757">
        <v>0</v>
      </c>
    </row>
    <row r="758" spans="1:11">
      <c r="A758">
        <v>98352</v>
      </c>
      <c r="B758" t="s">
        <v>1312</v>
      </c>
      <c r="C758" t="s">
        <v>624</v>
      </c>
      <c r="D758" t="s">
        <v>107</v>
      </c>
      <c r="E758" t="s">
        <v>513</v>
      </c>
      <c r="F758">
        <v>1</v>
      </c>
      <c r="G758">
        <v>1967</v>
      </c>
      <c r="H758">
        <v>469</v>
      </c>
      <c r="I758">
        <v>3.875</v>
      </c>
      <c r="J758">
        <v>128.48699999999999</v>
      </c>
      <c r="K758">
        <v>0</v>
      </c>
    </row>
    <row r="759" spans="1:11">
      <c r="A759">
        <v>96205</v>
      </c>
      <c r="B759" t="s">
        <v>1313</v>
      </c>
      <c r="C759" t="s">
        <v>602</v>
      </c>
      <c r="E759" t="s">
        <v>513</v>
      </c>
      <c r="F759">
        <v>1</v>
      </c>
      <c r="G759">
        <v>1953</v>
      </c>
      <c r="H759">
        <v>537</v>
      </c>
      <c r="I759">
        <v>2.0939999999999999</v>
      </c>
      <c r="J759">
        <v>58.079000000000001</v>
      </c>
      <c r="K759">
        <v>0</v>
      </c>
    </row>
    <row r="760" spans="1:11">
      <c r="A760">
        <v>22119</v>
      </c>
      <c r="B760" t="s">
        <v>1698</v>
      </c>
      <c r="C760" t="s">
        <v>793</v>
      </c>
      <c r="D760" t="s">
        <v>107</v>
      </c>
      <c r="E760" t="s">
        <v>546</v>
      </c>
      <c r="F760">
        <v>86</v>
      </c>
      <c r="G760">
        <v>1998</v>
      </c>
      <c r="H760">
        <v>19</v>
      </c>
      <c r="I760">
        <v>44.25</v>
      </c>
      <c r="J760">
        <v>3119.5650000000001</v>
      </c>
      <c r="K760">
        <v>1472</v>
      </c>
    </row>
    <row r="761" spans="1:11">
      <c r="A761">
        <v>20527</v>
      </c>
      <c r="B761" t="s">
        <v>1314</v>
      </c>
      <c r="C761" t="s">
        <v>608</v>
      </c>
      <c r="E761" t="s">
        <v>546</v>
      </c>
      <c r="F761">
        <v>86</v>
      </c>
      <c r="G761">
        <v>1989</v>
      </c>
      <c r="H761">
        <v>101</v>
      </c>
      <c r="I761">
        <v>26.562999999999999</v>
      </c>
      <c r="J761">
        <v>1753.499</v>
      </c>
      <c r="K761">
        <v>696</v>
      </c>
    </row>
    <row r="762" spans="1:11">
      <c r="A762">
        <v>21819</v>
      </c>
      <c r="B762" t="s">
        <v>1315</v>
      </c>
      <c r="C762" t="s">
        <v>620</v>
      </c>
      <c r="E762" t="s">
        <v>220</v>
      </c>
      <c r="F762">
        <v>36</v>
      </c>
      <c r="G762">
        <v>1952</v>
      </c>
      <c r="H762">
        <v>776</v>
      </c>
      <c r="I762">
        <v>0</v>
      </c>
      <c r="J762">
        <v>0</v>
      </c>
      <c r="K762">
        <v>0</v>
      </c>
    </row>
    <row r="763" spans="1:11">
      <c r="A763">
        <v>17093</v>
      </c>
      <c r="B763" t="s">
        <v>1316</v>
      </c>
      <c r="C763" t="s">
        <v>1225</v>
      </c>
      <c r="E763" t="s">
        <v>504</v>
      </c>
      <c r="F763">
        <v>63</v>
      </c>
      <c r="G763">
        <v>1967</v>
      </c>
      <c r="H763">
        <v>119</v>
      </c>
      <c r="I763">
        <v>22.562999999999999</v>
      </c>
      <c r="J763">
        <v>1545.2570000000001</v>
      </c>
      <c r="K763">
        <v>822</v>
      </c>
    </row>
    <row r="764" spans="1:11">
      <c r="A764">
        <v>10047</v>
      </c>
      <c r="B764" t="s">
        <v>1316</v>
      </c>
      <c r="C764" t="s">
        <v>644</v>
      </c>
      <c r="E764" t="s">
        <v>504</v>
      </c>
      <c r="F764">
        <v>63</v>
      </c>
      <c r="G764">
        <v>1997</v>
      </c>
      <c r="H764">
        <v>177</v>
      </c>
      <c r="I764">
        <v>30.655999999999999</v>
      </c>
      <c r="J764">
        <v>1049.1610000000001</v>
      </c>
      <c r="K764">
        <v>0</v>
      </c>
    </row>
    <row r="765" spans="1:11">
      <c r="A765">
        <v>22147</v>
      </c>
      <c r="B765" t="s">
        <v>1699</v>
      </c>
      <c r="C765" t="s">
        <v>583</v>
      </c>
      <c r="E765" t="s">
        <v>1418</v>
      </c>
      <c r="F765">
        <v>98</v>
      </c>
      <c r="G765">
        <v>1958</v>
      </c>
      <c r="H765">
        <v>189</v>
      </c>
      <c r="I765">
        <v>22.875</v>
      </c>
      <c r="J765">
        <v>1013.852</v>
      </c>
      <c r="K765">
        <v>182</v>
      </c>
    </row>
    <row r="766" spans="1:11">
      <c r="A766">
        <v>22149</v>
      </c>
      <c r="B766" t="s">
        <v>1700</v>
      </c>
      <c r="C766" t="s">
        <v>759</v>
      </c>
      <c r="D766" t="s">
        <v>107</v>
      </c>
      <c r="E766" t="s">
        <v>1418</v>
      </c>
      <c r="F766">
        <v>98</v>
      </c>
      <c r="G766">
        <v>1964</v>
      </c>
      <c r="H766">
        <v>188</v>
      </c>
      <c r="I766">
        <v>22.937999999999999</v>
      </c>
      <c r="J766">
        <v>1020.914</v>
      </c>
      <c r="K766">
        <v>182</v>
      </c>
    </row>
    <row r="767" spans="1:11">
      <c r="A767">
        <v>97272</v>
      </c>
      <c r="B767" t="s">
        <v>1318</v>
      </c>
      <c r="C767" t="s">
        <v>608</v>
      </c>
      <c r="E767" t="s">
        <v>513</v>
      </c>
      <c r="F767">
        <v>1</v>
      </c>
      <c r="G767">
        <v>1957</v>
      </c>
      <c r="H767">
        <v>495</v>
      </c>
      <c r="I767">
        <v>3.5939999999999999</v>
      </c>
      <c r="J767">
        <v>99.08</v>
      </c>
      <c r="K767">
        <v>0</v>
      </c>
    </row>
    <row r="768" spans="1:11">
      <c r="A768">
        <v>22124</v>
      </c>
      <c r="B768" t="s">
        <v>1701</v>
      </c>
      <c r="C768" t="s">
        <v>1015</v>
      </c>
      <c r="D768" t="s">
        <v>107</v>
      </c>
      <c r="E768" t="s">
        <v>597</v>
      </c>
      <c r="F768">
        <v>95</v>
      </c>
      <c r="G768">
        <v>1968</v>
      </c>
      <c r="H768">
        <v>470</v>
      </c>
      <c r="I768">
        <v>3.6880000000000002</v>
      </c>
      <c r="J768">
        <v>125.06100000000001</v>
      </c>
      <c r="K768">
        <v>0</v>
      </c>
    </row>
    <row r="769" spans="1:11">
      <c r="A769">
        <v>15068</v>
      </c>
      <c r="B769" t="s">
        <v>1319</v>
      </c>
      <c r="C769" t="s">
        <v>745</v>
      </c>
      <c r="E769" t="s">
        <v>613</v>
      </c>
      <c r="F769">
        <v>24</v>
      </c>
      <c r="G769">
        <v>1956</v>
      </c>
      <c r="H769">
        <v>95</v>
      </c>
      <c r="I769">
        <v>22.626000000000001</v>
      </c>
      <c r="J769">
        <v>1825.5840000000001</v>
      </c>
      <c r="K769">
        <v>858</v>
      </c>
    </row>
    <row r="770" spans="1:11">
      <c r="A770">
        <v>19005</v>
      </c>
      <c r="B770" t="s">
        <v>1320</v>
      </c>
      <c r="C770" t="s">
        <v>660</v>
      </c>
      <c r="E770" t="s">
        <v>621</v>
      </c>
      <c r="F770">
        <v>28</v>
      </c>
      <c r="G770">
        <v>1959</v>
      </c>
      <c r="H770">
        <v>777</v>
      </c>
      <c r="I770">
        <v>0</v>
      </c>
      <c r="J770">
        <v>0</v>
      </c>
      <c r="K770">
        <v>0</v>
      </c>
    </row>
    <row r="771" spans="1:11">
      <c r="A771">
        <v>21820</v>
      </c>
      <c r="B771" t="s">
        <v>1322</v>
      </c>
      <c r="C771" t="s">
        <v>1145</v>
      </c>
      <c r="E771" t="s">
        <v>220</v>
      </c>
      <c r="F771">
        <v>36</v>
      </c>
      <c r="G771">
        <v>1959</v>
      </c>
      <c r="H771">
        <v>778</v>
      </c>
      <c r="I771">
        <v>0</v>
      </c>
      <c r="J771">
        <v>0</v>
      </c>
      <c r="K771">
        <v>0</v>
      </c>
    </row>
    <row r="772" spans="1:11">
      <c r="A772">
        <v>19044</v>
      </c>
      <c r="B772" t="s">
        <v>1326</v>
      </c>
      <c r="C772" t="s">
        <v>978</v>
      </c>
      <c r="D772" t="s">
        <v>91</v>
      </c>
      <c r="E772" t="s">
        <v>513</v>
      </c>
      <c r="F772">
        <v>1</v>
      </c>
      <c r="G772">
        <v>2007</v>
      </c>
      <c r="H772">
        <v>567</v>
      </c>
      <c r="I772">
        <v>0.75</v>
      </c>
      <c r="J772">
        <v>26.99</v>
      </c>
      <c r="K772">
        <v>0</v>
      </c>
    </row>
    <row r="773" spans="1:11">
      <c r="A773">
        <v>20575</v>
      </c>
      <c r="B773" t="s">
        <v>1327</v>
      </c>
      <c r="C773" t="s">
        <v>1328</v>
      </c>
      <c r="D773" t="s">
        <v>657</v>
      </c>
      <c r="E773" t="s">
        <v>513</v>
      </c>
      <c r="F773">
        <v>1</v>
      </c>
      <c r="G773">
        <v>2009</v>
      </c>
      <c r="H773">
        <v>779</v>
      </c>
      <c r="I773">
        <v>0</v>
      </c>
      <c r="J773">
        <v>0</v>
      </c>
      <c r="K773">
        <v>0</v>
      </c>
    </row>
    <row r="774" spans="1:11">
      <c r="A774">
        <v>15026</v>
      </c>
      <c r="B774" t="s">
        <v>1329</v>
      </c>
      <c r="C774" t="s">
        <v>554</v>
      </c>
      <c r="E774" t="s">
        <v>501</v>
      </c>
      <c r="F774">
        <v>64</v>
      </c>
      <c r="G774">
        <v>1964</v>
      </c>
      <c r="H774">
        <v>433</v>
      </c>
      <c r="I774">
        <v>3.75</v>
      </c>
      <c r="J774">
        <v>164.03100000000001</v>
      </c>
      <c r="K774">
        <v>0</v>
      </c>
    </row>
    <row r="775" spans="1:11">
      <c r="A775">
        <v>24514</v>
      </c>
      <c r="B775" t="s">
        <v>1329</v>
      </c>
      <c r="C775" t="s">
        <v>745</v>
      </c>
      <c r="E775" t="s">
        <v>782</v>
      </c>
      <c r="F775">
        <v>90</v>
      </c>
      <c r="G775">
        <v>1998</v>
      </c>
      <c r="H775">
        <v>780</v>
      </c>
      <c r="I775">
        <v>0</v>
      </c>
      <c r="J775">
        <v>0</v>
      </c>
      <c r="K775">
        <v>0</v>
      </c>
    </row>
    <row r="776" spans="1:11">
      <c r="A776">
        <v>23254</v>
      </c>
      <c r="B776" t="s">
        <v>1329</v>
      </c>
      <c r="C776" t="s">
        <v>569</v>
      </c>
      <c r="E776" t="s">
        <v>553</v>
      </c>
      <c r="F776">
        <v>79</v>
      </c>
      <c r="G776">
        <v>2000</v>
      </c>
      <c r="H776">
        <v>426</v>
      </c>
      <c r="I776">
        <v>1.8759999999999999</v>
      </c>
      <c r="J776">
        <v>165.96799999999999</v>
      </c>
      <c r="K776">
        <v>80</v>
      </c>
    </row>
    <row r="777" spans="1:11">
      <c r="A777">
        <v>24275</v>
      </c>
      <c r="B777" t="s">
        <v>1332</v>
      </c>
      <c r="C777" t="s">
        <v>644</v>
      </c>
      <c r="E777" t="s">
        <v>164</v>
      </c>
      <c r="F777">
        <v>52</v>
      </c>
      <c r="G777">
        <v>1963</v>
      </c>
      <c r="H777">
        <v>380</v>
      </c>
      <c r="I777">
        <v>5.6879999999999997</v>
      </c>
      <c r="J777">
        <v>255.77099999999999</v>
      </c>
      <c r="K777">
        <v>32</v>
      </c>
    </row>
    <row r="778" spans="1:11">
      <c r="A778">
        <v>27080</v>
      </c>
      <c r="B778" t="s">
        <v>1334</v>
      </c>
      <c r="C778" t="s">
        <v>559</v>
      </c>
      <c r="E778" t="s">
        <v>797</v>
      </c>
      <c r="F778">
        <v>77</v>
      </c>
      <c r="G778">
        <v>1970</v>
      </c>
      <c r="H778">
        <v>355</v>
      </c>
      <c r="I778">
        <v>2.0310000000000001</v>
      </c>
      <c r="J778">
        <v>302.72800000000001</v>
      </c>
      <c r="K778">
        <v>202</v>
      </c>
    </row>
    <row r="779" spans="1:11">
      <c r="A779">
        <v>14052</v>
      </c>
      <c r="B779" t="s">
        <v>1702</v>
      </c>
      <c r="C779" t="s">
        <v>578</v>
      </c>
      <c r="D779" t="s">
        <v>107</v>
      </c>
      <c r="E779" t="s">
        <v>797</v>
      </c>
      <c r="F779">
        <v>77</v>
      </c>
      <c r="G779">
        <v>1970</v>
      </c>
      <c r="H779">
        <v>193</v>
      </c>
      <c r="I779">
        <v>12.625</v>
      </c>
      <c r="J779">
        <v>992.02099999999996</v>
      </c>
      <c r="K779">
        <v>452</v>
      </c>
    </row>
    <row r="780" spans="1:11">
      <c r="A780">
        <v>22180</v>
      </c>
      <c r="B780" t="s">
        <v>1703</v>
      </c>
      <c r="C780" t="s">
        <v>687</v>
      </c>
      <c r="D780" t="s">
        <v>91</v>
      </c>
      <c r="E780" t="s">
        <v>573</v>
      </c>
      <c r="F780">
        <v>16</v>
      </c>
      <c r="G780">
        <v>2007</v>
      </c>
      <c r="H780">
        <v>153</v>
      </c>
      <c r="I780">
        <v>33.125999999999998</v>
      </c>
      <c r="J780">
        <v>1244.124</v>
      </c>
      <c r="K780">
        <v>112</v>
      </c>
    </row>
    <row r="781" spans="1:11">
      <c r="A781">
        <v>23086</v>
      </c>
      <c r="B781" t="s">
        <v>1336</v>
      </c>
      <c r="C781" t="s">
        <v>568</v>
      </c>
      <c r="E781" t="s">
        <v>163</v>
      </c>
      <c r="F781">
        <v>43</v>
      </c>
      <c r="G781">
        <v>1955</v>
      </c>
      <c r="H781">
        <v>362</v>
      </c>
      <c r="I781">
        <v>8</v>
      </c>
      <c r="J781">
        <v>286.31799999999998</v>
      </c>
      <c r="K781">
        <v>0</v>
      </c>
    </row>
    <row r="782" spans="1:11">
      <c r="A782">
        <v>26010</v>
      </c>
      <c r="B782" t="s">
        <v>1338</v>
      </c>
      <c r="C782" t="s">
        <v>554</v>
      </c>
      <c r="E782" t="s">
        <v>513</v>
      </c>
      <c r="F782">
        <v>1</v>
      </c>
      <c r="G782">
        <v>1953</v>
      </c>
      <c r="H782">
        <v>86</v>
      </c>
      <c r="I782">
        <v>31.625</v>
      </c>
      <c r="J782">
        <v>1928.2719999999999</v>
      </c>
      <c r="K782">
        <v>669</v>
      </c>
    </row>
    <row r="783" spans="1:11">
      <c r="A783">
        <v>14022</v>
      </c>
      <c r="B783" t="s">
        <v>1339</v>
      </c>
      <c r="C783" t="s">
        <v>632</v>
      </c>
      <c r="D783" t="s">
        <v>107</v>
      </c>
      <c r="E783" t="s">
        <v>501</v>
      </c>
      <c r="F783">
        <v>64</v>
      </c>
      <c r="G783">
        <v>1985</v>
      </c>
      <c r="H783">
        <v>781</v>
      </c>
      <c r="I783">
        <v>0</v>
      </c>
      <c r="J783">
        <v>0</v>
      </c>
      <c r="K783">
        <v>0</v>
      </c>
    </row>
    <row r="784" spans="1:11">
      <c r="A784">
        <v>28009</v>
      </c>
      <c r="B784" t="s">
        <v>1339</v>
      </c>
      <c r="C784" t="s">
        <v>1031</v>
      </c>
      <c r="D784" t="s">
        <v>107</v>
      </c>
      <c r="E784" t="s">
        <v>513</v>
      </c>
      <c r="F784">
        <v>1</v>
      </c>
      <c r="G784">
        <v>1955</v>
      </c>
      <c r="H784">
        <v>782</v>
      </c>
      <c r="I784">
        <v>0</v>
      </c>
      <c r="J784">
        <v>0</v>
      </c>
      <c r="K784">
        <v>0</v>
      </c>
    </row>
    <row r="785" spans="1:11">
      <c r="A785">
        <v>20509</v>
      </c>
      <c r="B785" t="s">
        <v>1342</v>
      </c>
      <c r="C785" t="s">
        <v>745</v>
      </c>
      <c r="E785" t="s">
        <v>768</v>
      </c>
      <c r="F785">
        <v>45</v>
      </c>
      <c r="G785">
        <v>1971</v>
      </c>
      <c r="H785">
        <v>245</v>
      </c>
      <c r="I785">
        <v>13.875</v>
      </c>
      <c r="J785">
        <v>682.07</v>
      </c>
      <c r="K785">
        <v>197</v>
      </c>
    </row>
    <row r="786" spans="1:11">
      <c r="A786">
        <v>19031</v>
      </c>
      <c r="B786" t="s">
        <v>1343</v>
      </c>
      <c r="C786" t="s">
        <v>802</v>
      </c>
      <c r="E786" t="s">
        <v>584</v>
      </c>
      <c r="F786">
        <v>69</v>
      </c>
      <c r="G786">
        <v>2003</v>
      </c>
      <c r="H786">
        <v>392</v>
      </c>
      <c r="I786">
        <v>4.0010000000000003</v>
      </c>
      <c r="J786">
        <v>228.63399999999999</v>
      </c>
      <c r="K786">
        <v>105</v>
      </c>
    </row>
    <row r="787" spans="1:11">
      <c r="A787">
        <v>12022</v>
      </c>
      <c r="B787" t="s">
        <v>1119</v>
      </c>
      <c r="C787" t="s">
        <v>965</v>
      </c>
      <c r="D787" t="s">
        <v>107</v>
      </c>
      <c r="E787" t="s">
        <v>198</v>
      </c>
      <c r="F787">
        <v>17</v>
      </c>
      <c r="G787">
        <v>1986</v>
      </c>
      <c r="H787">
        <v>5</v>
      </c>
      <c r="I787">
        <v>46.125</v>
      </c>
      <c r="J787">
        <v>3283.8310000000001</v>
      </c>
      <c r="K787">
        <v>1456</v>
      </c>
    </row>
    <row r="788" spans="1:11">
      <c r="A788">
        <v>13041</v>
      </c>
      <c r="B788" t="s">
        <v>1120</v>
      </c>
      <c r="C788" t="s">
        <v>556</v>
      </c>
      <c r="D788" t="s">
        <v>107</v>
      </c>
      <c r="E788" t="s">
        <v>513</v>
      </c>
      <c r="F788">
        <v>1</v>
      </c>
      <c r="G788">
        <v>1959</v>
      </c>
      <c r="H788">
        <v>59</v>
      </c>
      <c r="I788">
        <v>26.187999999999999</v>
      </c>
      <c r="J788">
        <v>1718.5830000000001</v>
      </c>
      <c r="K788">
        <v>569</v>
      </c>
    </row>
    <row r="789" spans="1:11">
      <c r="A789">
        <v>16145</v>
      </c>
      <c r="B789" t="s">
        <v>1121</v>
      </c>
      <c r="C789" t="s">
        <v>559</v>
      </c>
      <c r="E789" t="s">
        <v>584</v>
      </c>
      <c r="F789">
        <v>69</v>
      </c>
      <c r="G789">
        <v>1981</v>
      </c>
      <c r="H789">
        <v>308</v>
      </c>
      <c r="I789">
        <v>5.8129999999999997</v>
      </c>
      <c r="J789">
        <v>332.72500000000002</v>
      </c>
      <c r="K789">
        <v>140</v>
      </c>
    </row>
    <row r="790" spans="1:11">
      <c r="A790">
        <v>17094</v>
      </c>
      <c r="B790" t="s">
        <v>1122</v>
      </c>
      <c r="C790" t="s">
        <v>547</v>
      </c>
      <c r="D790" t="s">
        <v>107</v>
      </c>
      <c r="E790" t="s">
        <v>584</v>
      </c>
      <c r="F790">
        <v>69</v>
      </c>
      <c r="G790">
        <v>2001</v>
      </c>
      <c r="H790">
        <v>514</v>
      </c>
      <c r="I790">
        <v>0.625</v>
      </c>
      <c r="J790">
        <v>85.784000000000006</v>
      </c>
      <c r="K790">
        <v>57</v>
      </c>
    </row>
    <row r="791" spans="1:11">
      <c r="A791">
        <v>96050</v>
      </c>
      <c r="B791" t="s">
        <v>1123</v>
      </c>
      <c r="C791" t="s">
        <v>1124</v>
      </c>
      <c r="E791" t="s">
        <v>606</v>
      </c>
      <c r="F791">
        <v>21</v>
      </c>
      <c r="G791">
        <v>1928</v>
      </c>
      <c r="H791">
        <v>932</v>
      </c>
      <c r="I791">
        <v>0</v>
      </c>
      <c r="J791">
        <v>0</v>
      </c>
      <c r="K791">
        <v>0</v>
      </c>
    </row>
    <row r="792" spans="1:11">
      <c r="A792">
        <v>12049</v>
      </c>
      <c r="B792" t="s">
        <v>1125</v>
      </c>
      <c r="C792" t="s">
        <v>577</v>
      </c>
      <c r="E792" t="s">
        <v>170</v>
      </c>
      <c r="F792">
        <v>14</v>
      </c>
      <c r="G792">
        <v>1982</v>
      </c>
      <c r="H792">
        <v>116</v>
      </c>
      <c r="I792">
        <v>23.625</v>
      </c>
      <c r="J792">
        <v>1155.1400000000001</v>
      </c>
      <c r="K792">
        <v>252</v>
      </c>
    </row>
    <row r="793" spans="1:11">
      <c r="A793">
        <v>19038</v>
      </c>
      <c r="B793" t="s">
        <v>1126</v>
      </c>
      <c r="C793" t="s">
        <v>582</v>
      </c>
      <c r="E793" t="s">
        <v>708</v>
      </c>
      <c r="F793">
        <v>66</v>
      </c>
      <c r="G793">
        <v>1968</v>
      </c>
      <c r="H793">
        <v>273</v>
      </c>
      <c r="I793">
        <v>9.3759999999999994</v>
      </c>
      <c r="J793">
        <v>408.42599999999999</v>
      </c>
      <c r="K793">
        <v>42</v>
      </c>
    </row>
    <row r="794" spans="1:11">
      <c r="A794">
        <v>19053</v>
      </c>
      <c r="B794" t="s">
        <v>1127</v>
      </c>
      <c r="C794" t="s">
        <v>602</v>
      </c>
      <c r="E794" t="s">
        <v>505</v>
      </c>
      <c r="F794">
        <v>89</v>
      </c>
      <c r="G794">
        <v>1967</v>
      </c>
      <c r="H794">
        <v>290</v>
      </c>
      <c r="I794">
        <v>8.282</v>
      </c>
      <c r="J794">
        <v>367.21100000000001</v>
      </c>
      <c r="K794">
        <v>50</v>
      </c>
    </row>
    <row r="795" spans="1:11">
      <c r="A795">
        <v>27051</v>
      </c>
      <c r="B795" t="s">
        <v>1128</v>
      </c>
      <c r="C795" t="s">
        <v>633</v>
      </c>
      <c r="D795" t="s">
        <v>107</v>
      </c>
      <c r="E795" t="s">
        <v>513</v>
      </c>
      <c r="F795">
        <v>1</v>
      </c>
      <c r="G795">
        <v>1953</v>
      </c>
      <c r="H795">
        <v>381</v>
      </c>
      <c r="I795">
        <v>4.782</v>
      </c>
      <c r="J795">
        <v>207.89699999999999</v>
      </c>
      <c r="K795">
        <v>52</v>
      </c>
    </row>
    <row r="796" spans="1:11">
      <c r="A796">
        <v>15055</v>
      </c>
      <c r="B796" t="s">
        <v>1129</v>
      </c>
      <c r="C796" t="s">
        <v>670</v>
      </c>
      <c r="D796" t="s">
        <v>91</v>
      </c>
      <c r="E796" t="s">
        <v>513</v>
      </c>
      <c r="F796">
        <v>1</v>
      </c>
      <c r="G796">
        <v>2005</v>
      </c>
      <c r="H796">
        <v>148</v>
      </c>
      <c r="I796">
        <v>14.72</v>
      </c>
      <c r="J796">
        <v>972.37800000000004</v>
      </c>
      <c r="K796">
        <v>352</v>
      </c>
    </row>
    <row r="797" spans="1:11">
      <c r="A797">
        <v>27015</v>
      </c>
      <c r="B797" t="s">
        <v>1129</v>
      </c>
      <c r="C797" t="s">
        <v>550</v>
      </c>
      <c r="E797" t="s">
        <v>513</v>
      </c>
      <c r="F797">
        <v>1</v>
      </c>
      <c r="G797">
        <v>1997</v>
      </c>
      <c r="H797">
        <v>23</v>
      </c>
      <c r="I797">
        <v>36.625</v>
      </c>
      <c r="J797">
        <v>2315.1819999999998</v>
      </c>
      <c r="K797">
        <v>705</v>
      </c>
    </row>
    <row r="798" spans="1:11">
      <c r="A798">
        <v>28024</v>
      </c>
      <c r="B798" t="s">
        <v>1130</v>
      </c>
      <c r="C798" t="s">
        <v>726</v>
      </c>
      <c r="E798" t="s">
        <v>571</v>
      </c>
      <c r="F798">
        <v>27</v>
      </c>
      <c r="G798">
        <v>1957</v>
      </c>
      <c r="H798">
        <v>933</v>
      </c>
      <c r="I798">
        <v>0</v>
      </c>
      <c r="J798">
        <v>0</v>
      </c>
      <c r="K798">
        <v>0</v>
      </c>
    </row>
    <row r="799" spans="1:11">
      <c r="A799">
        <v>16053</v>
      </c>
      <c r="B799" t="s">
        <v>1131</v>
      </c>
      <c r="C799" t="s">
        <v>582</v>
      </c>
      <c r="E799" t="s">
        <v>751</v>
      </c>
      <c r="F799">
        <v>82</v>
      </c>
      <c r="G799">
        <v>1967</v>
      </c>
      <c r="H799">
        <v>213</v>
      </c>
      <c r="I799">
        <v>11.563000000000001</v>
      </c>
      <c r="J799">
        <v>581.21100000000001</v>
      </c>
      <c r="K799">
        <v>115</v>
      </c>
    </row>
    <row r="800" spans="1:11">
      <c r="A800">
        <v>20507</v>
      </c>
      <c r="B800" t="s">
        <v>1132</v>
      </c>
      <c r="C800" t="s">
        <v>1133</v>
      </c>
      <c r="E800" t="s">
        <v>216</v>
      </c>
      <c r="F800">
        <v>33</v>
      </c>
      <c r="G800">
        <v>1947</v>
      </c>
      <c r="H800">
        <v>934</v>
      </c>
      <c r="I800">
        <v>0</v>
      </c>
      <c r="J800">
        <v>0</v>
      </c>
      <c r="K800">
        <v>0</v>
      </c>
    </row>
    <row r="801" spans="1:11">
      <c r="A801">
        <v>96095</v>
      </c>
      <c r="B801" t="s">
        <v>1134</v>
      </c>
      <c r="C801" t="s">
        <v>726</v>
      </c>
      <c r="E801" t="s">
        <v>573</v>
      </c>
      <c r="F801">
        <v>16</v>
      </c>
      <c r="G801">
        <v>1968</v>
      </c>
      <c r="H801">
        <v>487</v>
      </c>
      <c r="I801">
        <v>3.5</v>
      </c>
      <c r="J801">
        <v>102.05</v>
      </c>
      <c r="K801">
        <v>0</v>
      </c>
    </row>
    <row r="802" spans="1:11">
      <c r="A802">
        <v>14055</v>
      </c>
      <c r="B802" t="s">
        <v>1134</v>
      </c>
      <c r="C802" t="s">
        <v>582</v>
      </c>
      <c r="E802" t="s">
        <v>747</v>
      </c>
      <c r="F802">
        <v>68</v>
      </c>
      <c r="G802">
        <v>1956</v>
      </c>
      <c r="H802">
        <v>217</v>
      </c>
      <c r="I802">
        <v>11.266999999999999</v>
      </c>
      <c r="J802">
        <v>558.74199999999996</v>
      </c>
      <c r="K802">
        <v>126</v>
      </c>
    </row>
    <row r="803" spans="1:11">
      <c r="A803">
        <v>16117</v>
      </c>
      <c r="B803" t="s">
        <v>1134</v>
      </c>
      <c r="C803" t="s">
        <v>707</v>
      </c>
      <c r="E803" t="s">
        <v>747</v>
      </c>
      <c r="F803">
        <v>68</v>
      </c>
      <c r="G803">
        <v>1955</v>
      </c>
      <c r="H803">
        <v>106</v>
      </c>
      <c r="I803">
        <v>17.721</v>
      </c>
      <c r="J803">
        <v>1256.3510000000001</v>
      </c>
      <c r="K803">
        <v>508</v>
      </c>
    </row>
    <row r="804" spans="1:11">
      <c r="A804">
        <v>10092</v>
      </c>
      <c r="B804" t="s">
        <v>1135</v>
      </c>
      <c r="C804" t="s">
        <v>1062</v>
      </c>
      <c r="D804" t="s">
        <v>107</v>
      </c>
      <c r="E804" t="s">
        <v>584</v>
      </c>
      <c r="F804">
        <v>69</v>
      </c>
      <c r="G804">
        <v>1957</v>
      </c>
      <c r="H804">
        <v>657</v>
      </c>
      <c r="I804">
        <v>0.875</v>
      </c>
      <c r="J804">
        <v>12.576000000000001</v>
      </c>
      <c r="K804">
        <v>0</v>
      </c>
    </row>
    <row r="805" spans="1:11">
      <c r="A805">
        <v>11051</v>
      </c>
      <c r="B805" t="s">
        <v>1136</v>
      </c>
      <c r="C805" t="s">
        <v>602</v>
      </c>
      <c r="E805" t="s">
        <v>155</v>
      </c>
      <c r="F805">
        <v>22</v>
      </c>
      <c r="G805">
        <v>1970</v>
      </c>
      <c r="H805">
        <v>446</v>
      </c>
      <c r="I805">
        <v>3.25</v>
      </c>
      <c r="J805">
        <v>138.55699999999999</v>
      </c>
      <c r="K805">
        <v>0</v>
      </c>
    </row>
    <row r="806" spans="1:11">
      <c r="A806">
        <v>96024</v>
      </c>
      <c r="B806" t="s">
        <v>1137</v>
      </c>
      <c r="C806" t="s">
        <v>582</v>
      </c>
      <c r="E806" t="s">
        <v>517</v>
      </c>
      <c r="F806">
        <v>10</v>
      </c>
      <c r="G806">
        <v>1963</v>
      </c>
      <c r="H806">
        <v>466</v>
      </c>
      <c r="I806">
        <v>3.0630000000000002</v>
      </c>
      <c r="J806">
        <v>120.155</v>
      </c>
      <c r="K806">
        <v>0</v>
      </c>
    </row>
    <row r="807" spans="1:11">
      <c r="A807">
        <v>96152</v>
      </c>
      <c r="B807" t="s">
        <v>1137</v>
      </c>
      <c r="C807" t="s">
        <v>569</v>
      </c>
      <c r="E807" t="s">
        <v>517</v>
      </c>
      <c r="F807">
        <v>10</v>
      </c>
      <c r="G807">
        <v>1987</v>
      </c>
      <c r="H807">
        <v>171</v>
      </c>
      <c r="I807">
        <v>17</v>
      </c>
      <c r="J807">
        <v>800.46</v>
      </c>
      <c r="K807">
        <v>159</v>
      </c>
    </row>
    <row r="808" spans="1:11">
      <c r="A808">
        <v>96025</v>
      </c>
      <c r="B808" t="s">
        <v>1138</v>
      </c>
      <c r="C808" t="s">
        <v>690</v>
      </c>
      <c r="D808" t="s">
        <v>107</v>
      </c>
      <c r="E808" t="s">
        <v>517</v>
      </c>
      <c r="F808">
        <v>10</v>
      </c>
      <c r="G808">
        <v>1965</v>
      </c>
      <c r="H808">
        <v>500</v>
      </c>
      <c r="I808">
        <v>3.4689999999999999</v>
      </c>
      <c r="J808">
        <v>95.695999999999998</v>
      </c>
      <c r="K808">
        <v>0</v>
      </c>
    </row>
    <row r="809" spans="1:11">
      <c r="A809">
        <v>18143</v>
      </c>
      <c r="B809" t="s">
        <v>1139</v>
      </c>
      <c r="C809" t="s">
        <v>561</v>
      </c>
      <c r="D809" t="s">
        <v>107</v>
      </c>
      <c r="E809" t="s">
        <v>682</v>
      </c>
      <c r="F809">
        <v>91</v>
      </c>
      <c r="G809">
        <v>1964</v>
      </c>
      <c r="H809">
        <v>624</v>
      </c>
      <c r="I809">
        <v>0.625</v>
      </c>
      <c r="J809">
        <v>25.780999999999999</v>
      </c>
      <c r="K809">
        <v>0</v>
      </c>
    </row>
    <row r="810" spans="1:11">
      <c r="A810">
        <v>18098</v>
      </c>
      <c r="B810" t="s">
        <v>1140</v>
      </c>
      <c r="C810" t="s">
        <v>583</v>
      </c>
      <c r="E810" t="s">
        <v>592</v>
      </c>
      <c r="F810">
        <v>2</v>
      </c>
      <c r="G810">
        <v>1978</v>
      </c>
      <c r="H810">
        <v>331</v>
      </c>
      <c r="I810">
        <v>7.4379999999999997</v>
      </c>
      <c r="J810">
        <v>269.18599999999998</v>
      </c>
      <c r="K810">
        <v>0</v>
      </c>
    </row>
    <row r="811" spans="1:11">
      <c r="A811">
        <v>16132</v>
      </c>
      <c r="B811" t="s">
        <v>1141</v>
      </c>
      <c r="C811" t="s">
        <v>807</v>
      </c>
      <c r="D811" t="s">
        <v>657</v>
      </c>
      <c r="E811" t="s">
        <v>592</v>
      </c>
      <c r="F811">
        <v>2</v>
      </c>
      <c r="G811">
        <v>2008</v>
      </c>
      <c r="H811">
        <v>434</v>
      </c>
      <c r="I811">
        <v>4</v>
      </c>
      <c r="J811">
        <v>147.447</v>
      </c>
      <c r="K811">
        <v>0</v>
      </c>
    </row>
    <row r="812" spans="1:11">
      <c r="A812">
        <v>16133</v>
      </c>
      <c r="B812" t="s">
        <v>1141</v>
      </c>
      <c r="C812" t="s">
        <v>1142</v>
      </c>
      <c r="D812" t="s">
        <v>657</v>
      </c>
      <c r="E812" t="s">
        <v>592</v>
      </c>
      <c r="F812">
        <v>2</v>
      </c>
      <c r="G812">
        <v>2005</v>
      </c>
      <c r="H812">
        <v>421</v>
      </c>
      <c r="I812">
        <v>4.375</v>
      </c>
      <c r="J812">
        <v>161.59899999999999</v>
      </c>
      <c r="K812">
        <v>0</v>
      </c>
    </row>
    <row r="813" spans="1:11">
      <c r="A813">
        <v>96129</v>
      </c>
      <c r="B813" t="s">
        <v>1143</v>
      </c>
      <c r="C813" t="s">
        <v>686</v>
      </c>
      <c r="E813" t="s">
        <v>819</v>
      </c>
      <c r="F813">
        <v>7</v>
      </c>
      <c r="G813">
        <v>1971</v>
      </c>
      <c r="H813">
        <v>935</v>
      </c>
      <c r="I813">
        <v>0</v>
      </c>
      <c r="J813">
        <v>0</v>
      </c>
      <c r="K813">
        <v>0</v>
      </c>
    </row>
    <row r="814" spans="1:11">
      <c r="A814">
        <v>28047</v>
      </c>
      <c r="B814" t="s">
        <v>1144</v>
      </c>
      <c r="C814" t="s">
        <v>1145</v>
      </c>
      <c r="E814" t="s">
        <v>678</v>
      </c>
      <c r="F814">
        <v>54</v>
      </c>
      <c r="G814">
        <v>1962</v>
      </c>
      <c r="H814">
        <v>120</v>
      </c>
      <c r="I814">
        <v>11.75</v>
      </c>
      <c r="J814">
        <v>1116.269</v>
      </c>
      <c r="K814">
        <v>570</v>
      </c>
    </row>
    <row r="815" spans="1:11">
      <c r="A815">
        <v>29023</v>
      </c>
      <c r="B815" t="s">
        <v>1146</v>
      </c>
      <c r="C815" t="s">
        <v>568</v>
      </c>
      <c r="E815" t="s">
        <v>765</v>
      </c>
      <c r="F815">
        <v>56</v>
      </c>
      <c r="G815">
        <v>1947</v>
      </c>
      <c r="H815">
        <v>391</v>
      </c>
      <c r="I815">
        <v>5.2809999999999997</v>
      </c>
      <c r="J815">
        <v>186.71899999999999</v>
      </c>
      <c r="K815">
        <v>0</v>
      </c>
    </row>
    <row r="816" spans="1:11">
      <c r="A816">
        <v>11013</v>
      </c>
      <c r="B816" t="s">
        <v>1147</v>
      </c>
      <c r="C816" t="s">
        <v>594</v>
      </c>
      <c r="D816" t="s">
        <v>107</v>
      </c>
      <c r="E816" t="s">
        <v>765</v>
      </c>
      <c r="F816">
        <v>56</v>
      </c>
      <c r="G816">
        <v>1948</v>
      </c>
      <c r="H816">
        <v>388</v>
      </c>
      <c r="I816">
        <v>5.5010000000000003</v>
      </c>
      <c r="J816">
        <v>192.58699999999999</v>
      </c>
      <c r="K816">
        <v>0</v>
      </c>
    </row>
    <row r="817" spans="1:11">
      <c r="A817">
        <v>12064</v>
      </c>
      <c r="B817" t="s">
        <v>1148</v>
      </c>
      <c r="C817" t="s">
        <v>602</v>
      </c>
      <c r="E817" t="s">
        <v>729</v>
      </c>
      <c r="F817">
        <v>74</v>
      </c>
      <c r="G817">
        <v>1981</v>
      </c>
      <c r="H817">
        <v>349</v>
      </c>
      <c r="I817">
        <v>5.0629999999999997</v>
      </c>
      <c r="J817">
        <v>244.19900000000001</v>
      </c>
      <c r="K817">
        <v>56</v>
      </c>
    </row>
    <row r="818" spans="1:11">
      <c r="A818">
        <v>22990</v>
      </c>
      <c r="B818" t="s">
        <v>1148</v>
      </c>
      <c r="C818" t="s">
        <v>686</v>
      </c>
      <c r="E818" t="s">
        <v>567</v>
      </c>
      <c r="F818">
        <v>29</v>
      </c>
      <c r="G818">
        <v>1967</v>
      </c>
      <c r="H818">
        <v>443</v>
      </c>
      <c r="I818">
        <v>3.7509999999999999</v>
      </c>
      <c r="J818">
        <v>141.316</v>
      </c>
      <c r="K818">
        <v>0</v>
      </c>
    </row>
    <row r="819" spans="1:11">
      <c r="A819">
        <v>28055</v>
      </c>
      <c r="B819" t="s">
        <v>1149</v>
      </c>
      <c r="C819" t="s">
        <v>907</v>
      </c>
      <c r="D819" t="s">
        <v>107</v>
      </c>
      <c r="E819" t="s">
        <v>765</v>
      </c>
      <c r="F819">
        <v>56</v>
      </c>
      <c r="G819">
        <v>1970</v>
      </c>
      <c r="H819">
        <v>52</v>
      </c>
      <c r="I819">
        <v>29.658000000000001</v>
      </c>
      <c r="J819">
        <v>1808.231</v>
      </c>
      <c r="K819">
        <v>650</v>
      </c>
    </row>
    <row r="820" spans="1:11">
      <c r="A820">
        <v>10093</v>
      </c>
      <c r="B820" t="s">
        <v>1150</v>
      </c>
      <c r="C820" t="s">
        <v>736</v>
      </c>
      <c r="E820" t="s">
        <v>584</v>
      </c>
      <c r="F820">
        <v>69</v>
      </c>
      <c r="G820">
        <v>1947</v>
      </c>
      <c r="H820">
        <v>306</v>
      </c>
      <c r="I820">
        <v>6.9379999999999997</v>
      </c>
      <c r="J820">
        <v>335.35199999999998</v>
      </c>
      <c r="K820">
        <v>113</v>
      </c>
    </row>
    <row r="821" spans="1:11">
      <c r="A821">
        <v>96042</v>
      </c>
      <c r="B821" t="s">
        <v>1151</v>
      </c>
      <c r="C821" t="s">
        <v>633</v>
      </c>
      <c r="D821" t="s">
        <v>107</v>
      </c>
      <c r="E821" t="s">
        <v>513</v>
      </c>
      <c r="F821">
        <v>1</v>
      </c>
      <c r="G821">
        <v>1963</v>
      </c>
      <c r="H821">
        <v>387</v>
      </c>
      <c r="I821">
        <v>3.375</v>
      </c>
      <c r="J821">
        <v>194.31100000000001</v>
      </c>
      <c r="K821">
        <v>68</v>
      </c>
    </row>
    <row r="822" spans="1:11">
      <c r="A822">
        <v>20500</v>
      </c>
      <c r="B822" t="s">
        <v>1151</v>
      </c>
      <c r="C822" t="s">
        <v>818</v>
      </c>
      <c r="D822" t="s">
        <v>107</v>
      </c>
      <c r="E822" t="s">
        <v>513</v>
      </c>
      <c r="F822">
        <v>1</v>
      </c>
      <c r="G822">
        <v>1971</v>
      </c>
      <c r="H822">
        <v>936</v>
      </c>
      <c r="I822">
        <v>0</v>
      </c>
      <c r="J822">
        <v>0</v>
      </c>
      <c r="K822">
        <v>0</v>
      </c>
    </row>
    <row r="823" spans="1:11">
      <c r="A823">
        <v>20559</v>
      </c>
      <c r="B823" t="s">
        <v>1152</v>
      </c>
      <c r="C823" t="s">
        <v>1153</v>
      </c>
      <c r="D823" t="s">
        <v>91</v>
      </c>
      <c r="E823" t="s">
        <v>581</v>
      </c>
      <c r="F823">
        <v>94</v>
      </c>
      <c r="G823">
        <v>2004</v>
      </c>
      <c r="H823">
        <v>459</v>
      </c>
      <c r="I823">
        <v>3.6880000000000002</v>
      </c>
      <c r="J823">
        <v>126.46299999999999</v>
      </c>
      <c r="K823">
        <v>0</v>
      </c>
    </row>
    <row r="824" spans="1:11">
      <c r="A824">
        <v>18110</v>
      </c>
      <c r="B824" t="s">
        <v>1154</v>
      </c>
      <c r="C824" t="s">
        <v>565</v>
      </c>
      <c r="E824" t="s">
        <v>1016</v>
      </c>
      <c r="F824">
        <v>31</v>
      </c>
      <c r="G824">
        <v>1979</v>
      </c>
      <c r="H824">
        <v>937</v>
      </c>
      <c r="I824">
        <v>0</v>
      </c>
      <c r="J824">
        <v>0</v>
      </c>
      <c r="K824">
        <v>0</v>
      </c>
    </row>
    <row r="825" spans="1:11">
      <c r="A825">
        <v>21756</v>
      </c>
      <c r="B825" t="s">
        <v>1155</v>
      </c>
      <c r="C825" t="s">
        <v>742</v>
      </c>
      <c r="D825" t="s">
        <v>107</v>
      </c>
      <c r="E825" t="s">
        <v>1016</v>
      </c>
      <c r="F825">
        <v>31</v>
      </c>
      <c r="G825">
        <v>1985</v>
      </c>
      <c r="H825">
        <v>604</v>
      </c>
      <c r="I825">
        <v>1.125</v>
      </c>
      <c r="J825">
        <v>36.725999999999999</v>
      </c>
      <c r="K825">
        <v>0</v>
      </c>
    </row>
    <row r="826" spans="1:11">
      <c r="A826">
        <v>99596</v>
      </c>
      <c r="B826" t="s">
        <v>1156</v>
      </c>
      <c r="C826" t="s">
        <v>565</v>
      </c>
      <c r="E826" t="s">
        <v>200</v>
      </c>
      <c r="F826">
        <v>19</v>
      </c>
      <c r="G826">
        <v>1952</v>
      </c>
      <c r="H826">
        <v>595</v>
      </c>
      <c r="I826">
        <v>1.25</v>
      </c>
      <c r="J826">
        <v>40.805999999999997</v>
      </c>
      <c r="K826">
        <v>0</v>
      </c>
    </row>
    <row r="827" spans="1:11">
      <c r="A827">
        <v>17045</v>
      </c>
      <c r="B827" t="s">
        <v>1157</v>
      </c>
      <c r="C827" t="s">
        <v>1158</v>
      </c>
      <c r="D827" t="s">
        <v>657</v>
      </c>
      <c r="E827" t="s">
        <v>566</v>
      </c>
      <c r="F827">
        <v>51</v>
      </c>
      <c r="G827">
        <v>2007</v>
      </c>
      <c r="H827">
        <v>938</v>
      </c>
      <c r="I827">
        <v>0</v>
      </c>
      <c r="J827">
        <v>0</v>
      </c>
      <c r="K827">
        <v>0</v>
      </c>
    </row>
    <row r="828" spans="1:11">
      <c r="A828">
        <v>28004</v>
      </c>
      <c r="B828" t="s">
        <v>1159</v>
      </c>
      <c r="C828" t="s">
        <v>582</v>
      </c>
      <c r="E828" t="s">
        <v>765</v>
      </c>
      <c r="F828">
        <v>56</v>
      </c>
      <c r="G828">
        <v>1978</v>
      </c>
      <c r="H828">
        <v>62</v>
      </c>
      <c r="I828">
        <v>26.969000000000001</v>
      </c>
      <c r="J828">
        <v>1709.789</v>
      </c>
      <c r="K828">
        <v>615</v>
      </c>
    </row>
    <row r="829" spans="1:11">
      <c r="A829">
        <v>16027</v>
      </c>
      <c r="B829" t="s">
        <v>1160</v>
      </c>
      <c r="C829" t="s">
        <v>596</v>
      </c>
      <c r="D829" t="s">
        <v>107</v>
      </c>
      <c r="E829" t="s">
        <v>567</v>
      </c>
      <c r="F829">
        <v>29</v>
      </c>
      <c r="G829">
        <v>1972</v>
      </c>
      <c r="H829">
        <v>222</v>
      </c>
      <c r="I829">
        <v>15.500999999999999</v>
      </c>
      <c r="J829">
        <v>533.16499999999996</v>
      </c>
      <c r="K829">
        <v>29</v>
      </c>
    </row>
    <row r="830" spans="1:11">
      <c r="A830">
        <v>12017</v>
      </c>
      <c r="B830" t="s">
        <v>1160</v>
      </c>
      <c r="C830" t="s">
        <v>759</v>
      </c>
      <c r="D830" t="s">
        <v>107</v>
      </c>
      <c r="E830" t="s">
        <v>566</v>
      </c>
      <c r="F830">
        <v>51</v>
      </c>
      <c r="G830">
        <v>1968</v>
      </c>
      <c r="H830">
        <v>35</v>
      </c>
      <c r="I830">
        <v>31.125</v>
      </c>
      <c r="J830">
        <v>2090.5720000000001</v>
      </c>
      <c r="K830">
        <v>796</v>
      </c>
    </row>
    <row r="831" spans="1:11">
      <c r="A831">
        <v>10135</v>
      </c>
      <c r="B831" t="s">
        <v>1161</v>
      </c>
      <c r="C831" t="s">
        <v>582</v>
      </c>
      <c r="E831" t="s">
        <v>513</v>
      </c>
      <c r="F831">
        <v>1</v>
      </c>
      <c r="G831">
        <v>1945</v>
      </c>
      <c r="H831">
        <v>939</v>
      </c>
      <c r="I831">
        <v>0</v>
      </c>
      <c r="J831">
        <v>0</v>
      </c>
      <c r="K831">
        <v>0</v>
      </c>
    </row>
    <row r="832" spans="1:11">
      <c r="A832">
        <v>16114</v>
      </c>
      <c r="B832" t="s">
        <v>1162</v>
      </c>
      <c r="C832" t="s">
        <v>568</v>
      </c>
      <c r="E832" t="s">
        <v>606</v>
      </c>
      <c r="F832">
        <v>21</v>
      </c>
      <c r="G832">
        <v>1954</v>
      </c>
      <c r="H832">
        <v>940</v>
      </c>
      <c r="I832">
        <v>0</v>
      </c>
      <c r="J832">
        <v>0</v>
      </c>
      <c r="K832">
        <v>0</v>
      </c>
    </row>
    <row r="833" spans="1:11">
      <c r="A833">
        <v>28010</v>
      </c>
      <c r="B833" t="s">
        <v>1163</v>
      </c>
      <c r="C833" t="s">
        <v>582</v>
      </c>
      <c r="E833" t="s">
        <v>513</v>
      </c>
      <c r="F833">
        <v>1</v>
      </c>
      <c r="G833">
        <v>1969</v>
      </c>
      <c r="H833">
        <v>455</v>
      </c>
      <c r="I833">
        <v>4</v>
      </c>
      <c r="J833">
        <v>127.392</v>
      </c>
      <c r="K833">
        <v>0</v>
      </c>
    </row>
    <row r="834" spans="1:11">
      <c r="A834">
        <v>20518</v>
      </c>
      <c r="B834" t="s">
        <v>1164</v>
      </c>
      <c r="C834" t="s">
        <v>726</v>
      </c>
      <c r="E834" t="s">
        <v>555</v>
      </c>
      <c r="F834">
        <v>70</v>
      </c>
      <c r="G834">
        <v>1937</v>
      </c>
      <c r="H834">
        <v>941</v>
      </c>
      <c r="I834">
        <v>0</v>
      </c>
      <c r="J834">
        <v>0</v>
      </c>
      <c r="K834">
        <v>0</v>
      </c>
    </row>
    <row r="835" spans="1:11">
      <c r="A835">
        <v>99551</v>
      </c>
      <c r="B835" t="s">
        <v>1165</v>
      </c>
      <c r="C835" t="s">
        <v>554</v>
      </c>
      <c r="E835" t="s">
        <v>507</v>
      </c>
      <c r="F835">
        <v>20</v>
      </c>
      <c r="G835">
        <v>1954</v>
      </c>
      <c r="H835">
        <v>551</v>
      </c>
      <c r="I835">
        <v>1.3129999999999999</v>
      </c>
      <c r="J835">
        <v>61.454999999999998</v>
      </c>
      <c r="K835">
        <v>0</v>
      </c>
    </row>
    <row r="836" spans="1:11">
      <c r="A836">
        <v>28002</v>
      </c>
      <c r="B836" t="s">
        <v>1166</v>
      </c>
      <c r="C836" t="s">
        <v>554</v>
      </c>
      <c r="E836" t="s">
        <v>507</v>
      </c>
      <c r="F836">
        <v>20</v>
      </c>
      <c r="G836">
        <v>1996</v>
      </c>
      <c r="H836">
        <v>942</v>
      </c>
      <c r="I836">
        <v>0</v>
      </c>
      <c r="J836">
        <v>0</v>
      </c>
      <c r="K836">
        <v>0</v>
      </c>
    </row>
    <row r="837" spans="1:11">
      <c r="A837">
        <v>19054</v>
      </c>
      <c r="B837" t="s">
        <v>1167</v>
      </c>
      <c r="C837" t="s">
        <v>579</v>
      </c>
      <c r="D837" t="s">
        <v>107</v>
      </c>
      <c r="E837" t="s">
        <v>507</v>
      </c>
      <c r="F837">
        <v>20</v>
      </c>
      <c r="G837">
        <v>1991</v>
      </c>
      <c r="H837">
        <v>573</v>
      </c>
      <c r="I837">
        <v>1.0940000000000001</v>
      </c>
      <c r="J837">
        <v>51.244</v>
      </c>
      <c r="K837">
        <v>0</v>
      </c>
    </row>
    <row r="838" spans="1:11">
      <c r="A838">
        <v>29054</v>
      </c>
      <c r="B838" t="s">
        <v>1168</v>
      </c>
      <c r="C838" t="s">
        <v>583</v>
      </c>
      <c r="E838" t="s">
        <v>501</v>
      </c>
      <c r="F838">
        <v>64</v>
      </c>
      <c r="G838">
        <v>1971</v>
      </c>
      <c r="H838">
        <v>541</v>
      </c>
      <c r="I838">
        <v>0.75</v>
      </c>
      <c r="J838">
        <v>65.924000000000007</v>
      </c>
      <c r="K838">
        <v>30</v>
      </c>
    </row>
    <row r="839" spans="1:11">
      <c r="A839">
        <v>15001</v>
      </c>
      <c r="B839" t="s">
        <v>1169</v>
      </c>
      <c r="C839" t="s">
        <v>554</v>
      </c>
      <c r="E839" t="s">
        <v>161</v>
      </c>
      <c r="F839">
        <v>30</v>
      </c>
      <c r="G839">
        <v>1961</v>
      </c>
      <c r="H839">
        <v>73</v>
      </c>
      <c r="I839">
        <v>31.094000000000001</v>
      </c>
      <c r="J839">
        <v>1591.364</v>
      </c>
      <c r="K839">
        <v>471</v>
      </c>
    </row>
    <row r="840" spans="1:11">
      <c r="A840">
        <v>98304</v>
      </c>
      <c r="B840" t="s">
        <v>1170</v>
      </c>
      <c r="C840" t="s">
        <v>1171</v>
      </c>
      <c r="D840" t="s">
        <v>107</v>
      </c>
      <c r="E840" t="s">
        <v>592</v>
      </c>
      <c r="F840">
        <v>2</v>
      </c>
      <c r="G840">
        <v>1960</v>
      </c>
      <c r="H840">
        <v>236</v>
      </c>
      <c r="I840">
        <v>10.063000000000001</v>
      </c>
      <c r="J840">
        <v>486.59300000000002</v>
      </c>
      <c r="K840">
        <v>113</v>
      </c>
    </row>
    <row r="841" spans="1:11">
      <c r="A841">
        <v>20589</v>
      </c>
      <c r="B841" t="s">
        <v>1172</v>
      </c>
      <c r="C841" t="s">
        <v>589</v>
      </c>
      <c r="D841" t="s">
        <v>91</v>
      </c>
      <c r="E841" t="s">
        <v>597</v>
      </c>
      <c r="F841">
        <v>95</v>
      </c>
      <c r="G841">
        <v>2009</v>
      </c>
      <c r="H841">
        <v>943</v>
      </c>
      <c r="I841">
        <v>0</v>
      </c>
      <c r="J841">
        <v>0</v>
      </c>
      <c r="K841">
        <v>0</v>
      </c>
    </row>
    <row r="842" spans="1:11">
      <c r="A842">
        <v>14005</v>
      </c>
      <c r="B842" t="s">
        <v>1173</v>
      </c>
      <c r="C842" t="s">
        <v>552</v>
      </c>
      <c r="E842" t="s">
        <v>747</v>
      </c>
      <c r="F842">
        <v>68</v>
      </c>
      <c r="G842">
        <v>1988</v>
      </c>
      <c r="H842">
        <v>944</v>
      </c>
      <c r="I842">
        <v>0</v>
      </c>
      <c r="J842">
        <v>0</v>
      </c>
      <c r="K842">
        <v>0</v>
      </c>
    </row>
    <row r="843" spans="1:11">
      <c r="A843">
        <v>13063</v>
      </c>
      <c r="B843" t="s">
        <v>1174</v>
      </c>
      <c r="C843" t="s">
        <v>594</v>
      </c>
      <c r="D843" t="s">
        <v>107</v>
      </c>
      <c r="E843" t="s">
        <v>513</v>
      </c>
      <c r="F843">
        <v>1</v>
      </c>
      <c r="G843">
        <v>1953</v>
      </c>
      <c r="H843">
        <v>652</v>
      </c>
      <c r="I843">
        <v>0.438</v>
      </c>
      <c r="J843">
        <v>13.933999999999999</v>
      </c>
      <c r="K843">
        <v>0</v>
      </c>
    </row>
    <row r="844" spans="1:11">
      <c r="A844">
        <v>26034</v>
      </c>
      <c r="B844" t="s">
        <v>1175</v>
      </c>
      <c r="C844" t="s">
        <v>745</v>
      </c>
      <c r="E844" t="s">
        <v>504</v>
      </c>
      <c r="F844">
        <v>63</v>
      </c>
      <c r="G844">
        <v>1954</v>
      </c>
      <c r="H844">
        <v>144</v>
      </c>
      <c r="I844">
        <v>26.312999999999999</v>
      </c>
      <c r="J844">
        <v>997.279</v>
      </c>
      <c r="K844">
        <v>99</v>
      </c>
    </row>
    <row r="845" spans="1:11">
      <c r="A845">
        <v>20544</v>
      </c>
      <c r="B845" t="s">
        <v>1176</v>
      </c>
      <c r="C845" t="s">
        <v>565</v>
      </c>
      <c r="E845" t="s">
        <v>792</v>
      </c>
      <c r="F845">
        <v>93</v>
      </c>
      <c r="G845">
        <v>1965</v>
      </c>
      <c r="H845">
        <v>945</v>
      </c>
      <c r="I845">
        <v>0</v>
      </c>
      <c r="J845">
        <v>0</v>
      </c>
      <c r="K845">
        <v>0</v>
      </c>
    </row>
    <row r="846" spans="1:11">
      <c r="A846">
        <v>18079</v>
      </c>
      <c r="B846" t="s">
        <v>1177</v>
      </c>
      <c r="C846" t="s">
        <v>845</v>
      </c>
      <c r="D846" t="s">
        <v>107</v>
      </c>
      <c r="E846" t="s">
        <v>505</v>
      </c>
      <c r="F846">
        <v>89</v>
      </c>
      <c r="G846">
        <v>1966</v>
      </c>
      <c r="H846">
        <v>565</v>
      </c>
      <c r="I846">
        <v>1.25</v>
      </c>
      <c r="J846">
        <v>53.920999999999999</v>
      </c>
      <c r="K846">
        <v>0</v>
      </c>
    </row>
    <row r="847" spans="1:11">
      <c r="A847">
        <v>21754</v>
      </c>
      <c r="B847" t="s">
        <v>1178</v>
      </c>
      <c r="C847" t="s">
        <v>602</v>
      </c>
      <c r="E847" t="s">
        <v>622</v>
      </c>
      <c r="F847">
        <v>55</v>
      </c>
      <c r="G847">
        <v>1976</v>
      </c>
      <c r="H847">
        <v>224</v>
      </c>
      <c r="I847">
        <v>5.4690000000000003</v>
      </c>
      <c r="J847">
        <v>527.69299999999998</v>
      </c>
      <c r="K847">
        <v>277</v>
      </c>
    </row>
    <row r="848" spans="1:11">
      <c r="A848">
        <v>21755</v>
      </c>
      <c r="B848" t="s">
        <v>1178</v>
      </c>
      <c r="C848" t="s">
        <v>557</v>
      </c>
      <c r="E848" t="s">
        <v>1016</v>
      </c>
      <c r="F848">
        <v>31</v>
      </c>
      <c r="G848">
        <v>1981</v>
      </c>
      <c r="H848">
        <v>10</v>
      </c>
      <c r="I848">
        <v>38.688000000000002</v>
      </c>
      <c r="J848">
        <v>2808.7869999999998</v>
      </c>
      <c r="K848">
        <v>1054</v>
      </c>
    </row>
    <row r="849" spans="1:11">
      <c r="A849">
        <v>21837</v>
      </c>
      <c r="B849" t="s">
        <v>1179</v>
      </c>
      <c r="C849" t="s">
        <v>561</v>
      </c>
      <c r="D849" t="s">
        <v>107</v>
      </c>
      <c r="E849" t="s">
        <v>1016</v>
      </c>
      <c r="F849">
        <v>31</v>
      </c>
      <c r="G849">
        <v>1982</v>
      </c>
      <c r="H849">
        <v>170</v>
      </c>
      <c r="I849">
        <v>9.625</v>
      </c>
      <c r="J849">
        <v>818.49800000000005</v>
      </c>
      <c r="K849">
        <v>361</v>
      </c>
    </row>
    <row r="850" spans="1:11">
      <c r="A850">
        <v>19034</v>
      </c>
      <c r="B850" t="s">
        <v>1180</v>
      </c>
      <c r="C850" t="s">
        <v>1181</v>
      </c>
      <c r="D850" t="s">
        <v>91</v>
      </c>
      <c r="E850" t="s">
        <v>510</v>
      </c>
      <c r="F850">
        <v>88</v>
      </c>
      <c r="G850">
        <v>2009</v>
      </c>
      <c r="H850">
        <v>429</v>
      </c>
      <c r="I850">
        <v>4.875</v>
      </c>
      <c r="J850">
        <v>152.57</v>
      </c>
      <c r="K850">
        <v>0</v>
      </c>
    </row>
    <row r="851" spans="1:11">
      <c r="A851">
        <v>18065</v>
      </c>
      <c r="B851" t="s">
        <v>1180</v>
      </c>
      <c r="C851" t="s">
        <v>635</v>
      </c>
      <c r="E851" t="s">
        <v>510</v>
      </c>
      <c r="F851">
        <v>88</v>
      </c>
      <c r="G851">
        <v>1971</v>
      </c>
      <c r="H851">
        <v>225</v>
      </c>
      <c r="I851">
        <v>10.625999999999999</v>
      </c>
      <c r="J851">
        <v>526.91200000000003</v>
      </c>
      <c r="K851">
        <v>144</v>
      </c>
    </row>
    <row r="852" spans="1:11">
      <c r="A852">
        <v>18124</v>
      </c>
      <c r="B852" t="s">
        <v>1182</v>
      </c>
      <c r="C852" t="s">
        <v>1183</v>
      </c>
      <c r="D852" t="s">
        <v>657</v>
      </c>
      <c r="E852" t="s">
        <v>510</v>
      </c>
      <c r="F852">
        <v>88</v>
      </c>
      <c r="G852">
        <v>2007</v>
      </c>
      <c r="H852">
        <v>237</v>
      </c>
      <c r="I852">
        <v>10.938000000000001</v>
      </c>
      <c r="J852">
        <v>486.00299999999999</v>
      </c>
      <c r="K852">
        <v>110</v>
      </c>
    </row>
    <row r="853" spans="1:11">
      <c r="A853">
        <v>96026</v>
      </c>
      <c r="B853" t="s">
        <v>1184</v>
      </c>
      <c r="C853" t="s">
        <v>554</v>
      </c>
      <c r="E853" t="s">
        <v>517</v>
      </c>
      <c r="F853">
        <v>10</v>
      </c>
      <c r="G853">
        <v>1960</v>
      </c>
      <c r="H853">
        <v>668</v>
      </c>
      <c r="I853">
        <v>0.25</v>
      </c>
      <c r="J853">
        <v>5.0519999999999996</v>
      </c>
      <c r="K853">
        <v>0</v>
      </c>
    </row>
    <row r="854" spans="1:11">
      <c r="A854">
        <v>96027</v>
      </c>
      <c r="B854" t="s">
        <v>1185</v>
      </c>
      <c r="C854" t="s">
        <v>742</v>
      </c>
      <c r="D854" t="s">
        <v>107</v>
      </c>
      <c r="E854" t="s">
        <v>517</v>
      </c>
      <c r="F854">
        <v>10</v>
      </c>
      <c r="G854">
        <v>1961</v>
      </c>
      <c r="H854">
        <v>946</v>
      </c>
      <c r="I854">
        <v>0</v>
      </c>
      <c r="J854">
        <v>0</v>
      </c>
      <c r="K854">
        <v>0</v>
      </c>
    </row>
    <row r="855" spans="1:11">
      <c r="A855">
        <v>10048</v>
      </c>
      <c r="B855" t="s">
        <v>1186</v>
      </c>
      <c r="C855" t="s">
        <v>707</v>
      </c>
      <c r="E855" t="s">
        <v>504</v>
      </c>
      <c r="F855">
        <v>63</v>
      </c>
      <c r="G855">
        <v>1996</v>
      </c>
      <c r="H855">
        <v>113</v>
      </c>
      <c r="I855">
        <v>23.001000000000001</v>
      </c>
      <c r="J855">
        <v>1205.8610000000001</v>
      </c>
      <c r="K855">
        <v>300</v>
      </c>
    </row>
    <row r="856" spans="1:11">
      <c r="A856">
        <v>16140</v>
      </c>
      <c r="B856" t="s">
        <v>1187</v>
      </c>
      <c r="C856" t="s">
        <v>1188</v>
      </c>
      <c r="E856" t="s">
        <v>513</v>
      </c>
      <c r="F856">
        <v>1</v>
      </c>
      <c r="G856">
        <v>1951</v>
      </c>
      <c r="H856">
        <v>947</v>
      </c>
      <c r="I856">
        <v>0</v>
      </c>
      <c r="J856">
        <v>0</v>
      </c>
      <c r="K856">
        <v>0</v>
      </c>
    </row>
    <row r="857" spans="1:11">
      <c r="A857">
        <v>24320</v>
      </c>
      <c r="B857" t="s">
        <v>1189</v>
      </c>
      <c r="C857" t="s">
        <v>808</v>
      </c>
      <c r="D857" t="s">
        <v>107</v>
      </c>
      <c r="E857" t="s">
        <v>200</v>
      </c>
      <c r="F857">
        <v>19</v>
      </c>
      <c r="G857">
        <v>1963</v>
      </c>
      <c r="H857">
        <v>457</v>
      </c>
      <c r="I857">
        <v>2.1880000000000002</v>
      </c>
      <c r="J857">
        <v>127.059</v>
      </c>
      <c r="K857">
        <v>40</v>
      </c>
    </row>
    <row r="858" spans="1:11">
      <c r="A858">
        <v>19056</v>
      </c>
      <c r="B858" t="s">
        <v>1190</v>
      </c>
      <c r="C858" t="s">
        <v>789</v>
      </c>
      <c r="D858" t="s">
        <v>91</v>
      </c>
      <c r="E858" t="s">
        <v>797</v>
      </c>
      <c r="F858">
        <v>77</v>
      </c>
      <c r="G858">
        <v>2008</v>
      </c>
      <c r="H858">
        <v>581</v>
      </c>
      <c r="I858">
        <v>0.98399999999999999</v>
      </c>
      <c r="J858">
        <v>47.033999999999999</v>
      </c>
      <c r="K858">
        <v>0</v>
      </c>
    </row>
    <row r="859" spans="1:11">
      <c r="A859">
        <v>10159</v>
      </c>
      <c r="B859" t="s">
        <v>1191</v>
      </c>
      <c r="C859" t="s">
        <v>643</v>
      </c>
      <c r="E859" t="s">
        <v>797</v>
      </c>
      <c r="F859">
        <v>77</v>
      </c>
      <c r="G859">
        <v>1949</v>
      </c>
      <c r="H859">
        <v>151</v>
      </c>
      <c r="I859">
        <v>15.891999999999999</v>
      </c>
      <c r="J859">
        <v>955.70699999999999</v>
      </c>
      <c r="K859">
        <v>238</v>
      </c>
    </row>
    <row r="860" spans="1:11">
      <c r="A860">
        <v>10163</v>
      </c>
      <c r="B860" t="s">
        <v>1192</v>
      </c>
      <c r="C860" t="s">
        <v>596</v>
      </c>
      <c r="D860" t="s">
        <v>107</v>
      </c>
      <c r="E860" t="s">
        <v>797</v>
      </c>
      <c r="F860">
        <v>77</v>
      </c>
      <c r="G860">
        <v>1952</v>
      </c>
      <c r="H860">
        <v>89</v>
      </c>
      <c r="I860">
        <v>22.596</v>
      </c>
      <c r="J860">
        <v>1468.0319999999999</v>
      </c>
      <c r="K860">
        <v>469</v>
      </c>
    </row>
    <row r="861" spans="1:11">
      <c r="A861">
        <v>29062</v>
      </c>
      <c r="B861" t="s">
        <v>1193</v>
      </c>
      <c r="C861" t="s">
        <v>1194</v>
      </c>
      <c r="E861" t="s">
        <v>507</v>
      </c>
      <c r="F861">
        <v>20</v>
      </c>
      <c r="G861">
        <v>1999</v>
      </c>
      <c r="H861">
        <v>2</v>
      </c>
      <c r="I861">
        <v>58</v>
      </c>
      <c r="J861">
        <v>3505.136</v>
      </c>
      <c r="K861">
        <v>1084</v>
      </c>
    </row>
    <row r="862" spans="1:11">
      <c r="A862">
        <v>29061</v>
      </c>
      <c r="B862" t="s">
        <v>1193</v>
      </c>
      <c r="C862" t="s">
        <v>1195</v>
      </c>
      <c r="E862" t="s">
        <v>507</v>
      </c>
      <c r="F862">
        <v>20</v>
      </c>
      <c r="G862">
        <v>1970</v>
      </c>
      <c r="H862">
        <v>184</v>
      </c>
      <c r="I862">
        <v>10.782</v>
      </c>
      <c r="J862">
        <v>735.79</v>
      </c>
      <c r="K862">
        <v>254</v>
      </c>
    </row>
    <row r="863" spans="1:11">
      <c r="A863">
        <v>18132</v>
      </c>
      <c r="B863" t="s">
        <v>1196</v>
      </c>
      <c r="C863" t="s">
        <v>615</v>
      </c>
      <c r="E863" t="s">
        <v>510</v>
      </c>
      <c r="F863">
        <v>88</v>
      </c>
      <c r="G863">
        <v>1976</v>
      </c>
      <c r="H863">
        <v>94</v>
      </c>
      <c r="I863">
        <v>22.908000000000001</v>
      </c>
      <c r="J863">
        <v>1423.7239999999999</v>
      </c>
      <c r="K863">
        <v>496</v>
      </c>
    </row>
    <row r="864" spans="1:11">
      <c r="A864">
        <v>15070</v>
      </c>
      <c r="B864" t="s">
        <v>1197</v>
      </c>
      <c r="C864" t="s">
        <v>1198</v>
      </c>
      <c r="D864" t="s">
        <v>107</v>
      </c>
      <c r="E864" t="s">
        <v>164</v>
      </c>
      <c r="F864">
        <v>52</v>
      </c>
      <c r="G864">
        <v>1973</v>
      </c>
      <c r="H864">
        <v>80</v>
      </c>
      <c r="I864">
        <v>27.376999999999999</v>
      </c>
      <c r="J864">
        <v>1533.4059999999999</v>
      </c>
      <c r="K864">
        <v>554</v>
      </c>
    </row>
    <row r="865" spans="1:11">
      <c r="A865">
        <v>15057</v>
      </c>
      <c r="B865" t="s">
        <v>1199</v>
      </c>
      <c r="C865" t="s">
        <v>802</v>
      </c>
      <c r="D865" t="s">
        <v>91</v>
      </c>
      <c r="E865" t="s">
        <v>513</v>
      </c>
      <c r="F865">
        <v>1</v>
      </c>
      <c r="G865">
        <v>2005</v>
      </c>
      <c r="H865">
        <v>48</v>
      </c>
      <c r="I865">
        <v>27.314</v>
      </c>
      <c r="J865">
        <v>1854.191</v>
      </c>
      <c r="K865">
        <v>732</v>
      </c>
    </row>
    <row r="866" spans="1:11">
      <c r="A866">
        <v>18102</v>
      </c>
      <c r="B866" t="s">
        <v>1199</v>
      </c>
      <c r="C866" t="s">
        <v>602</v>
      </c>
      <c r="E866" t="s">
        <v>513</v>
      </c>
      <c r="F866">
        <v>1</v>
      </c>
      <c r="G866">
        <v>1947</v>
      </c>
      <c r="H866">
        <v>948</v>
      </c>
      <c r="I866">
        <v>0</v>
      </c>
      <c r="J866">
        <v>0</v>
      </c>
      <c r="K866">
        <v>0</v>
      </c>
    </row>
    <row r="867" spans="1:11">
      <c r="A867">
        <v>17095</v>
      </c>
      <c r="B867" t="s">
        <v>1200</v>
      </c>
      <c r="C867" t="s">
        <v>596</v>
      </c>
      <c r="D867" t="s">
        <v>107</v>
      </c>
      <c r="E867" t="s">
        <v>513</v>
      </c>
      <c r="F867">
        <v>1</v>
      </c>
      <c r="G867">
        <v>1972</v>
      </c>
      <c r="H867">
        <v>491</v>
      </c>
      <c r="I867">
        <v>3.0939999999999999</v>
      </c>
      <c r="J867">
        <v>100.12</v>
      </c>
      <c r="K867">
        <v>0</v>
      </c>
    </row>
    <row r="868" spans="1:11">
      <c r="A868">
        <v>14100</v>
      </c>
      <c r="B868" t="s">
        <v>1200</v>
      </c>
      <c r="C868" t="s">
        <v>742</v>
      </c>
      <c r="D868" t="s">
        <v>107</v>
      </c>
      <c r="E868" t="s">
        <v>501</v>
      </c>
      <c r="F868">
        <v>64</v>
      </c>
      <c r="G868">
        <v>1981</v>
      </c>
      <c r="H868">
        <v>644</v>
      </c>
      <c r="I868">
        <v>0.65600000000000003</v>
      </c>
      <c r="J868">
        <v>19.134</v>
      </c>
      <c r="K868">
        <v>0</v>
      </c>
    </row>
    <row r="869" spans="1:11">
      <c r="A869">
        <v>96102</v>
      </c>
      <c r="B869" t="s">
        <v>1201</v>
      </c>
      <c r="C869" t="s">
        <v>583</v>
      </c>
      <c r="E869" t="s">
        <v>606</v>
      </c>
      <c r="F869">
        <v>21</v>
      </c>
      <c r="G869">
        <v>1980</v>
      </c>
      <c r="H869">
        <v>585</v>
      </c>
      <c r="I869">
        <v>2.5</v>
      </c>
      <c r="J869">
        <v>43.994999999999997</v>
      </c>
      <c r="K869">
        <v>0</v>
      </c>
    </row>
    <row r="870" spans="1:11">
      <c r="A870">
        <v>96052</v>
      </c>
      <c r="B870" t="s">
        <v>1201</v>
      </c>
      <c r="C870" t="s">
        <v>615</v>
      </c>
      <c r="E870" t="s">
        <v>606</v>
      </c>
      <c r="F870">
        <v>21</v>
      </c>
      <c r="G870">
        <v>1948</v>
      </c>
      <c r="H870">
        <v>607</v>
      </c>
      <c r="I870">
        <v>2</v>
      </c>
      <c r="J870">
        <v>35.195999999999998</v>
      </c>
      <c r="K870">
        <v>0</v>
      </c>
    </row>
    <row r="871" spans="1:11">
      <c r="A871">
        <v>10031</v>
      </c>
      <c r="B871" t="s">
        <v>1202</v>
      </c>
      <c r="C871" t="s">
        <v>554</v>
      </c>
      <c r="E871" t="s">
        <v>520</v>
      </c>
      <c r="F871">
        <v>67</v>
      </c>
      <c r="G871">
        <v>1959</v>
      </c>
      <c r="H871">
        <v>358</v>
      </c>
      <c r="I871">
        <v>3.5939999999999999</v>
      </c>
      <c r="J871">
        <v>231.053</v>
      </c>
      <c r="K871">
        <v>99</v>
      </c>
    </row>
    <row r="872" spans="1:11">
      <c r="A872">
        <v>10032</v>
      </c>
      <c r="B872" t="s">
        <v>1202</v>
      </c>
      <c r="C872" t="s">
        <v>554</v>
      </c>
      <c r="E872" t="s">
        <v>520</v>
      </c>
      <c r="F872">
        <v>67</v>
      </c>
      <c r="G872">
        <v>1953</v>
      </c>
      <c r="H872">
        <v>347</v>
      </c>
      <c r="I872">
        <v>5.375</v>
      </c>
      <c r="J872">
        <v>246.61799999999999</v>
      </c>
      <c r="K872">
        <v>105</v>
      </c>
    </row>
    <row r="873" spans="1:11">
      <c r="A873">
        <v>10033</v>
      </c>
      <c r="B873" t="s">
        <v>1202</v>
      </c>
      <c r="C873" t="s">
        <v>545</v>
      </c>
      <c r="E873" t="s">
        <v>520</v>
      </c>
      <c r="F873">
        <v>67</v>
      </c>
      <c r="G873">
        <v>1963</v>
      </c>
      <c r="H873">
        <v>360</v>
      </c>
      <c r="I873">
        <v>3.7189999999999999</v>
      </c>
      <c r="J873">
        <v>230.976</v>
      </c>
      <c r="K873">
        <v>99</v>
      </c>
    </row>
    <row r="874" spans="1:11">
      <c r="A874">
        <v>17030</v>
      </c>
      <c r="B874" t="s">
        <v>1203</v>
      </c>
      <c r="C874" t="s">
        <v>1204</v>
      </c>
      <c r="D874" t="s">
        <v>91</v>
      </c>
      <c r="E874" t="s">
        <v>513</v>
      </c>
      <c r="F874">
        <v>1</v>
      </c>
      <c r="G874">
        <v>2011</v>
      </c>
      <c r="H874">
        <v>568</v>
      </c>
      <c r="I874">
        <v>1.4379999999999999</v>
      </c>
      <c r="J874">
        <v>52.912999999999997</v>
      </c>
      <c r="K874">
        <v>0</v>
      </c>
    </row>
    <row r="875" spans="1:11">
      <c r="A875">
        <v>21786</v>
      </c>
      <c r="B875" t="s">
        <v>1205</v>
      </c>
      <c r="C875" t="s">
        <v>793</v>
      </c>
      <c r="D875" t="s">
        <v>107</v>
      </c>
      <c r="E875" t="s">
        <v>513</v>
      </c>
      <c r="F875">
        <v>1</v>
      </c>
      <c r="G875">
        <v>1986</v>
      </c>
      <c r="H875">
        <v>161</v>
      </c>
      <c r="I875">
        <v>15.000999999999999</v>
      </c>
      <c r="J875">
        <v>877.03899999999999</v>
      </c>
      <c r="K875">
        <v>267</v>
      </c>
    </row>
    <row r="876" spans="1:11">
      <c r="A876">
        <v>17037</v>
      </c>
      <c r="B876" t="s">
        <v>1206</v>
      </c>
      <c r="C876" t="s">
        <v>556</v>
      </c>
      <c r="D876" t="s">
        <v>107</v>
      </c>
      <c r="E876" t="s">
        <v>621</v>
      </c>
      <c r="F876">
        <v>28</v>
      </c>
      <c r="G876">
        <v>1967</v>
      </c>
      <c r="H876">
        <v>510</v>
      </c>
      <c r="I876">
        <v>2.875</v>
      </c>
      <c r="J876">
        <v>87.787999999999997</v>
      </c>
      <c r="K876">
        <v>0</v>
      </c>
    </row>
    <row r="877" spans="1:11">
      <c r="A877">
        <v>10128</v>
      </c>
      <c r="B877" t="s">
        <v>1207</v>
      </c>
      <c r="C877" t="s">
        <v>711</v>
      </c>
      <c r="D877" t="s">
        <v>107</v>
      </c>
      <c r="E877" t="s">
        <v>555</v>
      </c>
      <c r="F877">
        <v>70</v>
      </c>
      <c r="G877">
        <v>1935</v>
      </c>
      <c r="H877">
        <v>949</v>
      </c>
      <c r="I877">
        <v>0</v>
      </c>
      <c r="J877">
        <v>0</v>
      </c>
      <c r="K877">
        <v>0</v>
      </c>
    </row>
    <row r="878" spans="1:11">
      <c r="A878">
        <v>14082</v>
      </c>
      <c r="B878" t="s">
        <v>1208</v>
      </c>
      <c r="C878" t="s">
        <v>602</v>
      </c>
      <c r="E878" t="s">
        <v>553</v>
      </c>
      <c r="F878">
        <v>79</v>
      </c>
      <c r="G878">
        <v>1991</v>
      </c>
      <c r="H878">
        <v>950</v>
      </c>
      <c r="I878">
        <v>0</v>
      </c>
      <c r="J878">
        <v>0</v>
      </c>
      <c r="K878">
        <v>0</v>
      </c>
    </row>
    <row r="879" spans="1:11">
      <c r="A879">
        <v>16139</v>
      </c>
      <c r="B879" t="s">
        <v>1209</v>
      </c>
      <c r="C879" t="s">
        <v>759</v>
      </c>
      <c r="D879" t="s">
        <v>107</v>
      </c>
      <c r="E879" t="s">
        <v>516</v>
      </c>
      <c r="F879">
        <v>42</v>
      </c>
      <c r="G879">
        <v>1962</v>
      </c>
      <c r="H879">
        <v>482</v>
      </c>
      <c r="I879">
        <v>1.0629999999999999</v>
      </c>
      <c r="J879">
        <v>106.08</v>
      </c>
      <c r="K879">
        <v>54</v>
      </c>
    </row>
    <row r="880" spans="1:11">
      <c r="A880">
        <v>19001</v>
      </c>
      <c r="B880" t="s">
        <v>1210</v>
      </c>
      <c r="C880" t="s">
        <v>686</v>
      </c>
      <c r="E880" t="s">
        <v>797</v>
      </c>
      <c r="F880">
        <v>77</v>
      </c>
      <c r="G880">
        <v>1966</v>
      </c>
      <c r="H880">
        <v>63</v>
      </c>
      <c r="I880">
        <v>28.564</v>
      </c>
      <c r="J880">
        <v>1700.2059999999999</v>
      </c>
      <c r="K880">
        <v>459</v>
      </c>
    </row>
    <row r="881" spans="1:11">
      <c r="A881">
        <v>97232</v>
      </c>
      <c r="B881" t="s">
        <v>1211</v>
      </c>
      <c r="C881" t="s">
        <v>608</v>
      </c>
      <c r="E881" t="s">
        <v>613</v>
      </c>
      <c r="F881">
        <v>24</v>
      </c>
      <c r="G881">
        <v>1982</v>
      </c>
      <c r="H881">
        <v>951</v>
      </c>
      <c r="I881">
        <v>0</v>
      </c>
      <c r="J881">
        <v>0</v>
      </c>
      <c r="K881">
        <v>0</v>
      </c>
    </row>
    <row r="882" spans="1:11">
      <c r="A882">
        <v>96200</v>
      </c>
      <c r="B882" t="s">
        <v>1211</v>
      </c>
      <c r="C882" t="s">
        <v>583</v>
      </c>
      <c r="E882" t="s">
        <v>613</v>
      </c>
      <c r="F882">
        <v>24</v>
      </c>
      <c r="G882">
        <v>1952</v>
      </c>
      <c r="H882">
        <v>492</v>
      </c>
      <c r="I882">
        <v>4</v>
      </c>
      <c r="J882">
        <v>99.951999999999998</v>
      </c>
      <c r="K882">
        <v>0</v>
      </c>
    </row>
    <row r="883" spans="1:11">
      <c r="A883">
        <v>10037</v>
      </c>
      <c r="B883" t="s">
        <v>1212</v>
      </c>
      <c r="C883" t="s">
        <v>664</v>
      </c>
      <c r="E883" t="s">
        <v>747</v>
      </c>
      <c r="F883">
        <v>68</v>
      </c>
      <c r="G883">
        <v>1976</v>
      </c>
      <c r="H883">
        <v>952</v>
      </c>
      <c r="I883">
        <v>0</v>
      </c>
      <c r="J883">
        <v>0</v>
      </c>
      <c r="K883">
        <v>0</v>
      </c>
    </row>
    <row r="884" spans="1:11">
      <c r="A884">
        <v>96213</v>
      </c>
      <c r="B884" t="s">
        <v>1213</v>
      </c>
      <c r="C884" t="s">
        <v>790</v>
      </c>
      <c r="D884" t="s">
        <v>107</v>
      </c>
      <c r="E884" t="s">
        <v>613</v>
      </c>
      <c r="F884">
        <v>24</v>
      </c>
      <c r="G884">
        <v>1960</v>
      </c>
      <c r="H884">
        <v>426</v>
      </c>
      <c r="I884">
        <v>1</v>
      </c>
      <c r="J884">
        <v>157.05500000000001</v>
      </c>
      <c r="K884">
        <v>111</v>
      </c>
    </row>
    <row r="885" spans="1:11">
      <c r="A885">
        <v>20611</v>
      </c>
      <c r="B885" t="s">
        <v>1214</v>
      </c>
      <c r="C885" t="s">
        <v>582</v>
      </c>
      <c r="E885" t="s">
        <v>597</v>
      </c>
      <c r="F885">
        <v>95</v>
      </c>
      <c r="G885">
        <v>1967</v>
      </c>
      <c r="H885">
        <v>953</v>
      </c>
      <c r="I885">
        <v>0</v>
      </c>
      <c r="J885">
        <v>0</v>
      </c>
      <c r="K885">
        <v>0</v>
      </c>
    </row>
    <row r="886" spans="1:11">
      <c r="A886">
        <v>28027</v>
      </c>
      <c r="B886" t="s">
        <v>1215</v>
      </c>
      <c r="C886" t="s">
        <v>726</v>
      </c>
      <c r="E886" t="s">
        <v>612</v>
      </c>
      <c r="F886">
        <v>62</v>
      </c>
      <c r="G886">
        <v>1968</v>
      </c>
      <c r="H886">
        <v>415</v>
      </c>
      <c r="I886">
        <v>1.875</v>
      </c>
      <c r="J886">
        <v>165.31299999999999</v>
      </c>
      <c r="K886">
        <v>80</v>
      </c>
    </row>
    <row r="887" spans="1:11">
      <c r="A887">
        <v>13084</v>
      </c>
      <c r="B887" t="s">
        <v>1216</v>
      </c>
      <c r="C887" t="s">
        <v>576</v>
      </c>
      <c r="E887" t="s">
        <v>501</v>
      </c>
      <c r="F887">
        <v>64</v>
      </c>
      <c r="G887">
        <v>1979</v>
      </c>
      <c r="H887">
        <v>194</v>
      </c>
      <c r="I887">
        <v>9.2200000000000006</v>
      </c>
      <c r="J887">
        <v>690.01199999999994</v>
      </c>
      <c r="K887">
        <v>265</v>
      </c>
    </row>
    <row r="888" spans="1:11">
      <c r="A888">
        <v>18049</v>
      </c>
      <c r="B888" t="s">
        <v>1217</v>
      </c>
      <c r="C888" t="s">
        <v>556</v>
      </c>
      <c r="D888" t="s">
        <v>107</v>
      </c>
      <c r="E888" t="s">
        <v>606</v>
      </c>
      <c r="F888">
        <v>21</v>
      </c>
      <c r="G888">
        <v>1947</v>
      </c>
      <c r="H888">
        <v>954</v>
      </c>
      <c r="I888">
        <v>0</v>
      </c>
      <c r="J888">
        <v>0</v>
      </c>
      <c r="K888">
        <v>0</v>
      </c>
    </row>
    <row r="889" spans="1:11">
      <c r="A889">
        <v>14079</v>
      </c>
      <c r="B889" t="s">
        <v>1218</v>
      </c>
      <c r="C889" t="s">
        <v>602</v>
      </c>
      <c r="E889" t="s">
        <v>553</v>
      </c>
      <c r="F889">
        <v>79</v>
      </c>
      <c r="G889">
        <v>2002</v>
      </c>
      <c r="H889">
        <v>84</v>
      </c>
      <c r="I889">
        <v>23.501999999999999</v>
      </c>
      <c r="J889">
        <v>1487.8320000000001</v>
      </c>
      <c r="K889">
        <v>508</v>
      </c>
    </row>
    <row r="890" spans="1:11">
      <c r="A890">
        <v>19016</v>
      </c>
      <c r="B890" t="s">
        <v>1219</v>
      </c>
      <c r="C890" t="s">
        <v>569</v>
      </c>
      <c r="E890" t="s">
        <v>546</v>
      </c>
      <c r="F890">
        <v>86</v>
      </c>
      <c r="G890">
        <v>1984</v>
      </c>
      <c r="H890">
        <v>955</v>
      </c>
      <c r="I890">
        <v>0</v>
      </c>
      <c r="J890">
        <v>0</v>
      </c>
      <c r="K890">
        <v>0</v>
      </c>
    </row>
    <row r="891" spans="1:11">
      <c r="A891">
        <v>21827</v>
      </c>
      <c r="B891" t="s">
        <v>1220</v>
      </c>
      <c r="C891" t="s">
        <v>554</v>
      </c>
      <c r="E891" t="s">
        <v>220</v>
      </c>
      <c r="F891">
        <v>36</v>
      </c>
      <c r="G891">
        <v>1978</v>
      </c>
      <c r="H891">
        <v>956</v>
      </c>
      <c r="I891">
        <v>0</v>
      </c>
      <c r="J891">
        <v>0</v>
      </c>
      <c r="K891">
        <v>0</v>
      </c>
    </row>
    <row r="892" spans="1:11">
      <c r="A892">
        <v>15006</v>
      </c>
      <c r="B892" t="s">
        <v>1221</v>
      </c>
      <c r="C892" t="s">
        <v>554</v>
      </c>
      <c r="E892" t="s">
        <v>650</v>
      </c>
      <c r="F892">
        <v>15</v>
      </c>
      <c r="G892">
        <v>1996</v>
      </c>
      <c r="H892">
        <v>238</v>
      </c>
      <c r="I892">
        <v>7.6260000000000003</v>
      </c>
      <c r="J892">
        <v>484.09300000000002</v>
      </c>
      <c r="K892">
        <v>144</v>
      </c>
    </row>
    <row r="893" spans="1:11">
      <c r="A893">
        <v>16005</v>
      </c>
      <c r="B893" t="s">
        <v>1221</v>
      </c>
      <c r="C893" t="s">
        <v>582</v>
      </c>
      <c r="E893" t="s">
        <v>650</v>
      </c>
      <c r="F893">
        <v>15</v>
      </c>
      <c r="G893">
        <v>1991</v>
      </c>
      <c r="H893">
        <v>957</v>
      </c>
      <c r="I893">
        <v>0</v>
      </c>
      <c r="J893">
        <v>0</v>
      </c>
      <c r="K893">
        <v>0</v>
      </c>
    </row>
    <row r="894" spans="1:11">
      <c r="A894">
        <v>18048</v>
      </c>
      <c r="B894" t="s">
        <v>1222</v>
      </c>
      <c r="C894" t="s">
        <v>667</v>
      </c>
      <c r="D894" t="s">
        <v>107</v>
      </c>
      <c r="E894" t="s">
        <v>650</v>
      </c>
      <c r="F894">
        <v>15</v>
      </c>
      <c r="G894">
        <v>1989</v>
      </c>
      <c r="H894">
        <v>365</v>
      </c>
      <c r="I894">
        <v>4.0010000000000003</v>
      </c>
      <c r="J894">
        <v>223.298</v>
      </c>
      <c r="K894">
        <v>49</v>
      </c>
    </row>
    <row r="895" spans="1:11">
      <c r="A895">
        <v>18094</v>
      </c>
      <c r="B895" t="s">
        <v>1223</v>
      </c>
      <c r="C895" t="s">
        <v>633</v>
      </c>
      <c r="D895" t="s">
        <v>107</v>
      </c>
      <c r="E895" t="s">
        <v>782</v>
      </c>
      <c r="F895">
        <v>90</v>
      </c>
      <c r="G895">
        <v>1978</v>
      </c>
      <c r="H895">
        <v>958</v>
      </c>
      <c r="I895">
        <v>0</v>
      </c>
      <c r="J895">
        <v>0</v>
      </c>
      <c r="K895">
        <v>0</v>
      </c>
    </row>
    <row r="896" spans="1:11">
      <c r="A896">
        <v>18067</v>
      </c>
      <c r="B896" t="s">
        <v>1224</v>
      </c>
      <c r="C896" t="s">
        <v>1225</v>
      </c>
      <c r="E896" t="s">
        <v>510</v>
      </c>
      <c r="F896">
        <v>88</v>
      </c>
      <c r="G896">
        <v>1974</v>
      </c>
      <c r="H896">
        <v>340</v>
      </c>
      <c r="I896">
        <v>8.6880000000000006</v>
      </c>
      <c r="J896">
        <v>259.90800000000002</v>
      </c>
      <c r="K896">
        <v>0</v>
      </c>
    </row>
    <row r="897" spans="1:11">
      <c r="A897">
        <v>15067</v>
      </c>
      <c r="B897" t="s">
        <v>1226</v>
      </c>
      <c r="C897" t="s">
        <v>1227</v>
      </c>
      <c r="E897" t="s">
        <v>501</v>
      </c>
      <c r="F897">
        <v>64</v>
      </c>
      <c r="G897">
        <v>1978</v>
      </c>
      <c r="H897">
        <v>16</v>
      </c>
      <c r="I897">
        <v>39.375</v>
      </c>
      <c r="J897">
        <v>2530.3780000000002</v>
      </c>
      <c r="K897">
        <v>911</v>
      </c>
    </row>
    <row r="898" spans="1:11">
      <c r="A898">
        <v>20603</v>
      </c>
      <c r="B898" t="s">
        <v>1228</v>
      </c>
      <c r="C898" t="s">
        <v>626</v>
      </c>
      <c r="E898" t="s">
        <v>597</v>
      </c>
      <c r="F898">
        <v>95</v>
      </c>
      <c r="G898">
        <v>1959</v>
      </c>
      <c r="H898">
        <v>959</v>
      </c>
      <c r="I898">
        <v>0</v>
      </c>
      <c r="J898">
        <v>0</v>
      </c>
      <c r="K898">
        <v>0</v>
      </c>
    </row>
    <row r="899" spans="1:11">
      <c r="A899">
        <v>20594</v>
      </c>
      <c r="B899" t="s">
        <v>1229</v>
      </c>
      <c r="C899" t="s">
        <v>578</v>
      </c>
      <c r="D899" t="s">
        <v>107</v>
      </c>
      <c r="E899" t="s">
        <v>597</v>
      </c>
      <c r="F899">
        <v>95</v>
      </c>
      <c r="G899">
        <v>1958</v>
      </c>
      <c r="H899">
        <v>960</v>
      </c>
      <c r="I899">
        <v>0</v>
      </c>
      <c r="J899">
        <v>0</v>
      </c>
      <c r="K899">
        <v>0</v>
      </c>
    </row>
    <row r="900" spans="1:11">
      <c r="A900">
        <v>20595</v>
      </c>
      <c r="B900" t="s">
        <v>1230</v>
      </c>
      <c r="C900" t="s">
        <v>578</v>
      </c>
      <c r="D900" t="s">
        <v>107</v>
      </c>
      <c r="E900" t="s">
        <v>597</v>
      </c>
      <c r="F900">
        <v>95</v>
      </c>
      <c r="G900">
        <v>1979</v>
      </c>
      <c r="H900">
        <v>961</v>
      </c>
      <c r="I900">
        <v>0</v>
      </c>
      <c r="J900">
        <v>0</v>
      </c>
      <c r="K900">
        <v>0</v>
      </c>
    </row>
    <row r="901" spans="1:11">
      <c r="A901">
        <v>15019</v>
      </c>
      <c r="B901" t="s">
        <v>1231</v>
      </c>
      <c r="C901" t="s">
        <v>1232</v>
      </c>
      <c r="D901" t="s">
        <v>107</v>
      </c>
      <c r="E901" t="s">
        <v>678</v>
      </c>
      <c r="F901">
        <v>54</v>
      </c>
      <c r="G901">
        <v>1952</v>
      </c>
      <c r="H901">
        <v>662</v>
      </c>
      <c r="I901">
        <v>0.375</v>
      </c>
      <c r="J901">
        <v>11.622999999999999</v>
      </c>
      <c r="K901">
        <v>0</v>
      </c>
    </row>
    <row r="902" spans="1:11">
      <c r="A902">
        <v>20573</v>
      </c>
      <c r="B902" t="s">
        <v>1233</v>
      </c>
      <c r="C902" t="s">
        <v>616</v>
      </c>
      <c r="D902" t="s">
        <v>107</v>
      </c>
      <c r="E902" t="s">
        <v>708</v>
      </c>
      <c r="F902">
        <v>66</v>
      </c>
      <c r="G902">
        <v>1965</v>
      </c>
      <c r="H902">
        <v>962</v>
      </c>
      <c r="I902">
        <v>0</v>
      </c>
      <c r="J902">
        <v>0</v>
      </c>
      <c r="K902">
        <v>0</v>
      </c>
    </row>
    <row r="903" spans="1:11">
      <c r="A903">
        <v>20534</v>
      </c>
      <c r="B903" t="s">
        <v>1234</v>
      </c>
      <c r="C903" t="s">
        <v>790</v>
      </c>
      <c r="D903" t="s">
        <v>107</v>
      </c>
      <c r="E903" t="s">
        <v>666</v>
      </c>
      <c r="F903">
        <v>87</v>
      </c>
      <c r="G903">
        <v>1956</v>
      </c>
      <c r="H903">
        <v>417</v>
      </c>
      <c r="I903">
        <v>4.782</v>
      </c>
      <c r="J903">
        <v>163.648</v>
      </c>
      <c r="K903">
        <v>0</v>
      </c>
    </row>
    <row r="904" spans="1:11">
      <c r="A904">
        <v>15078</v>
      </c>
      <c r="B904" t="s">
        <v>1235</v>
      </c>
      <c r="C904" t="s">
        <v>576</v>
      </c>
      <c r="E904" t="s">
        <v>515</v>
      </c>
      <c r="F904">
        <v>13</v>
      </c>
      <c r="G904">
        <v>1983</v>
      </c>
      <c r="H904">
        <v>481</v>
      </c>
      <c r="I904">
        <v>4.1879999999999997</v>
      </c>
      <c r="J904">
        <v>107</v>
      </c>
      <c r="K904">
        <v>0</v>
      </c>
    </row>
    <row r="905" spans="1:11">
      <c r="A905">
        <v>18104</v>
      </c>
      <c r="B905" t="s">
        <v>1236</v>
      </c>
      <c r="C905" t="s">
        <v>563</v>
      </c>
      <c r="D905" t="s">
        <v>107</v>
      </c>
      <c r="E905" t="s">
        <v>501</v>
      </c>
      <c r="F905">
        <v>64</v>
      </c>
      <c r="G905">
        <v>1978</v>
      </c>
      <c r="H905">
        <v>542</v>
      </c>
      <c r="I905">
        <v>0.75</v>
      </c>
      <c r="J905">
        <v>65.924000000000007</v>
      </c>
      <c r="K905">
        <v>30</v>
      </c>
    </row>
    <row r="906" spans="1:11">
      <c r="A906">
        <v>18059</v>
      </c>
      <c r="B906" t="s">
        <v>1237</v>
      </c>
      <c r="C906" t="s">
        <v>1238</v>
      </c>
      <c r="D906" t="s">
        <v>107</v>
      </c>
      <c r="E906" t="s">
        <v>610</v>
      </c>
      <c r="F906">
        <v>78</v>
      </c>
      <c r="G906">
        <v>1986</v>
      </c>
      <c r="H906">
        <v>963</v>
      </c>
      <c r="I906">
        <v>0</v>
      </c>
      <c r="J906">
        <v>0</v>
      </c>
      <c r="K906">
        <v>0</v>
      </c>
    </row>
    <row r="907" spans="1:11">
      <c r="A907">
        <v>16137</v>
      </c>
      <c r="B907" t="s">
        <v>1239</v>
      </c>
      <c r="C907" t="s">
        <v>1240</v>
      </c>
      <c r="D907" t="s">
        <v>107</v>
      </c>
      <c r="E907" t="s">
        <v>553</v>
      </c>
      <c r="F907">
        <v>79</v>
      </c>
      <c r="G907">
        <v>1986</v>
      </c>
      <c r="H907">
        <v>964</v>
      </c>
      <c r="I907">
        <v>0</v>
      </c>
      <c r="J907">
        <v>0</v>
      </c>
      <c r="K907">
        <v>0</v>
      </c>
    </row>
    <row r="908" spans="1:11">
      <c r="A908">
        <v>16046</v>
      </c>
      <c r="B908" t="s">
        <v>1241</v>
      </c>
      <c r="C908" t="s">
        <v>1242</v>
      </c>
      <c r="E908" t="s">
        <v>584</v>
      </c>
      <c r="F908">
        <v>69</v>
      </c>
      <c r="G908">
        <v>1949</v>
      </c>
      <c r="H908">
        <v>658</v>
      </c>
      <c r="I908">
        <v>0.875</v>
      </c>
      <c r="J908">
        <v>12.576000000000001</v>
      </c>
      <c r="K908">
        <v>0</v>
      </c>
    </row>
    <row r="909" spans="1:11">
      <c r="A909">
        <v>20612</v>
      </c>
      <c r="B909" t="s">
        <v>1243</v>
      </c>
      <c r="C909" t="s">
        <v>582</v>
      </c>
      <c r="E909" t="s">
        <v>597</v>
      </c>
      <c r="F909">
        <v>95</v>
      </c>
      <c r="G909">
        <v>1967</v>
      </c>
      <c r="H909">
        <v>965</v>
      </c>
      <c r="I909">
        <v>0</v>
      </c>
      <c r="J909">
        <v>0</v>
      </c>
      <c r="K909">
        <v>0</v>
      </c>
    </row>
    <row r="910" spans="1:11">
      <c r="A910">
        <v>16146</v>
      </c>
      <c r="B910" t="s">
        <v>1244</v>
      </c>
      <c r="C910" t="s">
        <v>565</v>
      </c>
      <c r="E910" t="s">
        <v>751</v>
      </c>
      <c r="F910">
        <v>82</v>
      </c>
      <c r="G910">
        <v>1984</v>
      </c>
      <c r="H910">
        <v>450</v>
      </c>
      <c r="I910">
        <v>3.25</v>
      </c>
      <c r="J910">
        <v>134.06299999999999</v>
      </c>
      <c r="K910">
        <v>0</v>
      </c>
    </row>
    <row r="911" spans="1:11">
      <c r="A911">
        <v>13024</v>
      </c>
      <c r="B911" t="s">
        <v>1245</v>
      </c>
      <c r="C911" t="s">
        <v>927</v>
      </c>
      <c r="D911" t="s">
        <v>107</v>
      </c>
      <c r="E911" t="s">
        <v>630</v>
      </c>
      <c r="F911">
        <v>75</v>
      </c>
      <c r="G911">
        <v>1985</v>
      </c>
      <c r="H911">
        <v>966</v>
      </c>
      <c r="I911">
        <v>0</v>
      </c>
      <c r="J911">
        <v>0</v>
      </c>
      <c r="K911">
        <v>0</v>
      </c>
    </row>
    <row r="912" spans="1:11">
      <c r="A912">
        <v>16135</v>
      </c>
      <c r="B912" t="s">
        <v>1246</v>
      </c>
      <c r="C912" t="s">
        <v>814</v>
      </c>
      <c r="D912" t="s">
        <v>657</v>
      </c>
      <c r="E912" t="s">
        <v>592</v>
      </c>
      <c r="F912">
        <v>2</v>
      </c>
      <c r="G912">
        <v>2007</v>
      </c>
      <c r="H912">
        <v>968</v>
      </c>
      <c r="I912">
        <v>0</v>
      </c>
      <c r="J912">
        <v>0</v>
      </c>
      <c r="K912">
        <v>0</v>
      </c>
    </row>
    <row r="913" spans="1:11">
      <c r="A913">
        <v>16134</v>
      </c>
      <c r="B913" t="s">
        <v>1246</v>
      </c>
      <c r="C913" t="s">
        <v>604</v>
      </c>
      <c r="D913" t="s">
        <v>657</v>
      </c>
      <c r="E913" t="s">
        <v>592</v>
      </c>
      <c r="F913">
        <v>2</v>
      </c>
      <c r="G913">
        <v>2004</v>
      </c>
      <c r="H913">
        <v>967</v>
      </c>
      <c r="I913">
        <v>0</v>
      </c>
      <c r="J913">
        <v>0</v>
      </c>
      <c r="K913">
        <v>0</v>
      </c>
    </row>
    <row r="914" spans="1:11">
      <c r="A914">
        <v>20505</v>
      </c>
      <c r="B914" t="s">
        <v>1247</v>
      </c>
      <c r="C914" t="s">
        <v>1238</v>
      </c>
      <c r="D914" t="s">
        <v>657</v>
      </c>
      <c r="E914" t="s">
        <v>507</v>
      </c>
      <c r="F914">
        <v>20</v>
      </c>
      <c r="G914">
        <v>2006</v>
      </c>
      <c r="H914">
        <v>575</v>
      </c>
      <c r="I914">
        <v>1.157</v>
      </c>
      <c r="J914">
        <v>49.502000000000002</v>
      </c>
      <c r="K914">
        <v>0</v>
      </c>
    </row>
    <row r="915" spans="1:11">
      <c r="A915">
        <v>10175</v>
      </c>
      <c r="B915" t="s">
        <v>1248</v>
      </c>
      <c r="C915" t="s">
        <v>577</v>
      </c>
      <c r="E915" t="s">
        <v>507</v>
      </c>
      <c r="F915">
        <v>20</v>
      </c>
      <c r="G915">
        <v>1979</v>
      </c>
      <c r="H915">
        <v>420</v>
      </c>
      <c r="I915">
        <v>3.4380000000000002</v>
      </c>
      <c r="J915">
        <v>161.67400000000001</v>
      </c>
      <c r="K915">
        <v>0</v>
      </c>
    </row>
    <row r="916" spans="1:11">
      <c r="A916">
        <v>15058</v>
      </c>
      <c r="B916" t="s">
        <v>1248</v>
      </c>
      <c r="C916" t="s">
        <v>1249</v>
      </c>
      <c r="D916" t="s">
        <v>91</v>
      </c>
      <c r="E916" t="s">
        <v>507</v>
      </c>
      <c r="F916">
        <v>20</v>
      </c>
      <c r="G916">
        <v>2004</v>
      </c>
      <c r="H916">
        <v>12</v>
      </c>
      <c r="I916">
        <v>40.625</v>
      </c>
      <c r="J916">
        <v>2692.9630000000002</v>
      </c>
      <c r="K916">
        <v>1161</v>
      </c>
    </row>
    <row r="917" spans="1:11">
      <c r="A917">
        <v>17100</v>
      </c>
      <c r="B917" t="s">
        <v>1250</v>
      </c>
      <c r="C917" t="s">
        <v>845</v>
      </c>
      <c r="D917" t="s">
        <v>107</v>
      </c>
      <c r="E917" t="s">
        <v>546</v>
      </c>
      <c r="F917">
        <v>86</v>
      </c>
      <c r="G917">
        <v>1989</v>
      </c>
      <c r="H917">
        <v>969</v>
      </c>
      <c r="I917">
        <v>0</v>
      </c>
      <c r="J917">
        <v>0</v>
      </c>
      <c r="K917">
        <v>0</v>
      </c>
    </row>
    <row r="918" spans="1:11">
      <c r="A918">
        <v>19050</v>
      </c>
      <c r="B918" t="s">
        <v>1251</v>
      </c>
      <c r="C918" t="s">
        <v>545</v>
      </c>
      <c r="D918" t="s">
        <v>107</v>
      </c>
      <c r="E918" t="s">
        <v>546</v>
      </c>
      <c r="F918">
        <v>86</v>
      </c>
      <c r="G918">
        <v>1992</v>
      </c>
      <c r="H918">
        <v>970</v>
      </c>
      <c r="I918">
        <v>0</v>
      </c>
      <c r="J918">
        <v>0</v>
      </c>
      <c r="K918">
        <v>0</v>
      </c>
    </row>
    <row r="919" spans="1:11">
      <c r="A919">
        <v>10098</v>
      </c>
      <c r="B919" t="s">
        <v>1252</v>
      </c>
      <c r="C919" t="s">
        <v>1253</v>
      </c>
      <c r="E919" t="s">
        <v>584</v>
      </c>
      <c r="F919">
        <v>69</v>
      </c>
      <c r="G919">
        <v>1959</v>
      </c>
      <c r="H919">
        <v>971</v>
      </c>
      <c r="I919">
        <v>0</v>
      </c>
      <c r="J919">
        <v>0</v>
      </c>
      <c r="K919">
        <v>0</v>
      </c>
    </row>
    <row r="920" spans="1:11">
      <c r="A920">
        <v>17052</v>
      </c>
      <c r="B920" t="s">
        <v>1254</v>
      </c>
      <c r="C920" t="s">
        <v>552</v>
      </c>
      <c r="E920" t="s">
        <v>546</v>
      </c>
      <c r="F920">
        <v>86</v>
      </c>
      <c r="G920">
        <v>1962</v>
      </c>
      <c r="H920">
        <v>229</v>
      </c>
      <c r="I920">
        <v>11.064</v>
      </c>
      <c r="J920">
        <v>514.73800000000006</v>
      </c>
      <c r="K920">
        <v>64</v>
      </c>
    </row>
    <row r="921" spans="1:11">
      <c r="A921">
        <v>17055</v>
      </c>
      <c r="B921" t="s">
        <v>1254</v>
      </c>
      <c r="C921" t="s">
        <v>694</v>
      </c>
      <c r="E921" t="s">
        <v>546</v>
      </c>
      <c r="F921">
        <v>86</v>
      </c>
      <c r="G921">
        <v>2000</v>
      </c>
      <c r="H921">
        <v>187</v>
      </c>
      <c r="I921">
        <v>12.907</v>
      </c>
      <c r="J921">
        <v>727.79399999999998</v>
      </c>
      <c r="K921">
        <v>163</v>
      </c>
    </row>
    <row r="922" spans="1:11">
      <c r="A922">
        <v>16144</v>
      </c>
      <c r="B922" t="s">
        <v>1254</v>
      </c>
      <c r="C922" t="s">
        <v>644</v>
      </c>
      <c r="E922" t="s">
        <v>546</v>
      </c>
      <c r="F922">
        <v>86</v>
      </c>
      <c r="G922">
        <v>1992</v>
      </c>
      <c r="H922">
        <v>263</v>
      </c>
      <c r="I922">
        <v>9.3460000000000001</v>
      </c>
      <c r="J922">
        <v>424.12700000000001</v>
      </c>
      <c r="K922">
        <v>25</v>
      </c>
    </row>
    <row r="923" spans="1:11">
      <c r="A923">
        <v>96127</v>
      </c>
      <c r="B923" t="s">
        <v>1255</v>
      </c>
      <c r="C923" t="s">
        <v>707</v>
      </c>
      <c r="E923" t="s">
        <v>819</v>
      </c>
      <c r="F923">
        <v>7</v>
      </c>
      <c r="G923">
        <v>1973</v>
      </c>
      <c r="H923">
        <v>972</v>
      </c>
      <c r="I923">
        <v>0</v>
      </c>
      <c r="J923">
        <v>0</v>
      </c>
      <c r="K923">
        <v>0</v>
      </c>
    </row>
    <row r="924" spans="1:11">
      <c r="A924">
        <v>28036</v>
      </c>
      <c r="B924" t="s">
        <v>1256</v>
      </c>
      <c r="C924" t="s">
        <v>749</v>
      </c>
      <c r="E924" t="s">
        <v>156</v>
      </c>
      <c r="F924">
        <v>6</v>
      </c>
      <c r="G924">
        <v>1943</v>
      </c>
      <c r="H924">
        <v>405</v>
      </c>
      <c r="I924">
        <v>4.782</v>
      </c>
      <c r="J924">
        <v>178.245</v>
      </c>
      <c r="K924">
        <v>30</v>
      </c>
    </row>
    <row r="925" spans="1:11">
      <c r="A925">
        <v>18057</v>
      </c>
      <c r="B925" t="s">
        <v>1257</v>
      </c>
      <c r="C925" t="s">
        <v>602</v>
      </c>
      <c r="E925" t="s">
        <v>678</v>
      </c>
      <c r="F925">
        <v>54</v>
      </c>
      <c r="G925">
        <v>1957</v>
      </c>
      <c r="H925">
        <v>436</v>
      </c>
      <c r="I925">
        <v>3</v>
      </c>
      <c r="J925">
        <v>145.5</v>
      </c>
      <c r="K925">
        <v>0</v>
      </c>
    </row>
    <row r="926" spans="1:11">
      <c r="A926">
        <v>14090</v>
      </c>
      <c r="B926" t="s">
        <v>1258</v>
      </c>
      <c r="C926" t="s">
        <v>1259</v>
      </c>
      <c r="E926" t="s">
        <v>553</v>
      </c>
      <c r="F926">
        <v>79</v>
      </c>
      <c r="G926">
        <v>1987</v>
      </c>
      <c r="H926">
        <v>973</v>
      </c>
      <c r="I926">
        <v>0</v>
      </c>
      <c r="J926">
        <v>0</v>
      </c>
      <c r="K926">
        <v>0</v>
      </c>
    </row>
    <row r="927" spans="1:11">
      <c r="A927">
        <v>12083</v>
      </c>
      <c r="B927" t="s">
        <v>1260</v>
      </c>
      <c r="C927" t="s">
        <v>609</v>
      </c>
      <c r="E927" t="s">
        <v>599</v>
      </c>
      <c r="F927">
        <v>73</v>
      </c>
      <c r="G927">
        <v>1954</v>
      </c>
      <c r="H927">
        <v>129</v>
      </c>
      <c r="I927">
        <v>18.501999999999999</v>
      </c>
      <c r="J927">
        <v>1076.0119999999999</v>
      </c>
      <c r="K927">
        <v>362</v>
      </c>
    </row>
    <row r="928" spans="1:11">
      <c r="A928">
        <v>20525</v>
      </c>
      <c r="B928" t="s">
        <v>1261</v>
      </c>
      <c r="C928" t="s">
        <v>699</v>
      </c>
      <c r="D928" t="s">
        <v>107</v>
      </c>
      <c r="E928" t="s">
        <v>546</v>
      </c>
      <c r="F928">
        <v>86</v>
      </c>
      <c r="G928">
        <v>1993</v>
      </c>
      <c r="H928">
        <v>974</v>
      </c>
      <c r="I928">
        <v>0</v>
      </c>
      <c r="J928">
        <v>0</v>
      </c>
      <c r="K928">
        <v>0</v>
      </c>
    </row>
    <row r="929" spans="1:11">
      <c r="A929">
        <v>17038</v>
      </c>
      <c r="B929" t="s">
        <v>1262</v>
      </c>
      <c r="C929" t="s">
        <v>633</v>
      </c>
      <c r="D929" t="s">
        <v>107</v>
      </c>
      <c r="E929" t="s">
        <v>216</v>
      </c>
      <c r="F929">
        <v>33</v>
      </c>
      <c r="G929">
        <v>1962</v>
      </c>
      <c r="H929">
        <v>234</v>
      </c>
      <c r="I929">
        <v>10.69</v>
      </c>
      <c r="J929">
        <v>494.69900000000001</v>
      </c>
      <c r="K929">
        <v>78</v>
      </c>
    </row>
    <row r="930" spans="1:11">
      <c r="A930">
        <v>10094</v>
      </c>
      <c r="B930" t="s">
        <v>1263</v>
      </c>
      <c r="C930" t="s">
        <v>726</v>
      </c>
      <c r="E930" t="s">
        <v>584</v>
      </c>
      <c r="F930">
        <v>69</v>
      </c>
      <c r="G930">
        <v>1949</v>
      </c>
      <c r="H930">
        <v>608</v>
      </c>
      <c r="I930">
        <v>1.75</v>
      </c>
      <c r="J930">
        <v>34.287999999999997</v>
      </c>
      <c r="K930">
        <v>0</v>
      </c>
    </row>
    <row r="931" spans="1:11">
      <c r="A931">
        <v>14066</v>
      </c>
      <c r="B931" t="s">
        <v>1264</v>
      </c>
      <c r="C931" t="s">
        <v>552</v>
      </c>
      <c r="E931" t="s">
        <v>592</v>
      </c>
      <c r="F931">
        <v>2</v>
      </c>
      <c r="G931">
        <v>1972</v>
      </c>
      <c r="H931">
        <v>975</v>
      </c>
      <c r="I931">
        <v>0</v>
      </c>
      <c r="J931">
        <v>0</v>
      </c>
      <c r="K931">
        <v>0</v>
      </c>
    </row>
    <row r="932" spans="1:11">
      <c r="A932">
        <v>11037</v>
      </c>
      <c r="B932" t="s">
        <v>1265</v>
      </c>
      <c r="C932" t="s">
        <v>1266</v>
      </c>
      <c r="E932" t="s">
        <v>513</v>
      </c>
      <c r="F932">
        <v>1</v>
      </c>
      <c r="G932">
        <v>1983</v>
      </c>
      <c r="H932">
        <v>202</v>
      </c>
      <c r="I932">
        <v>15.657</v>
      </c>
      <c r="J932">
        <v>644.54200000000003</v>
      </c>
      <c r="K932">
        <v>0</v>
      </c>
    </row>
    <row r="933" spans="1:11">
      <c r="A933">
        <v>26041</v>
      </c>
      <c r="B933" t="s">
        <v>1267</v>
      </c>
      <c r="C933" t="s">
        <v>887</v>
      </c>
      <c r="D933" t="s">
        <v>107</v>
      </c>
      <c r="E933" t="s">
        <v>621</v>
      </c>
      <c r="F933">
        <v>28</v>
      </c>
      <c r="G933">
        <v>1953</v>
      </c>
      <c r="H933">
        <v>976</v>
      </c>
      <c r="I933">
        <v>0</v>
      </c>
      <c r="J933">
        <v>0</v>
      </c>
      <c r="K933">
        <v>0</v>
      </c>
    </row>
    <row r="934" spans="1:11">
      <c r="A934">
        <v>20689</v>
      </c>
      <c r="B934" t="s">
        <v>1268</v>
      </c>
      <c r="C934" t="s">
        <v>626</v>
      </c>
      <c r="E934" t="s">
        <v>155</v>
      </c>
      <c r="F934">
        <v>22</v>
      </c>
      <c r="G934">
        <v>1959</v>
      </c>
      <c r="H934">
        <v>977</v>
      </c>
      <c r="I934">
        <v>0</v>
      </c>
      <c r="J934">
        <v>0</v>
      </c>
      <c r="K934">
        <v>0</v>
      </c>
    </row>
    <row r="935" spans="1:11">
      <c r="A935">
        <v>14094</v>
      </c>
      <c r="B935" t="s">
        <v>1269</v>
      </c>
      <c r="C935" t="s">
        <v>626</v>
      </c>
      <c r="E935" t="s">
        <v>163</v>
      </c>
      <c r="F935">
        <v>43</v>
      </c>
      <c r="G935">
        <v>1954</v>
      </c>
      <c r="H935">
        <v>142</v>
      </c>
      <c r="I935">
        <v>16.876999999999999</v>
      </c>
      <c r="J935">
        <v>1003.625</v>
      </c>
      <c r="K935">
        <v>330</v>
      </c>
    </row>
    <row r="936" spans="1:11">
      <c r="A936">
        <v>23060</v>
      </c>
      <c r="B936" t="s">
        <v>1270</v>
      </c>
      <c r="C936" t="s">
        <v>608</v>
      </c>
      <c r="E936" t="s">
        <v>504</v>
      </c>
      <c r="F936">
        <v>63</v>
      </c>
      <c r="G936">
        <v>1954</v>
      </c>
      <c r="H936">
        <v>132</v>
      </c>
      <c r="I936">
        <v>21.876000000000001</v>
      </c>
      <c r="J936">
        <v>1071.4949999999999</v>
      </c>
      <c r="K936">
        <v>253</v>
      </c>
    </row>
    <row r="937" spans="1:11">
      <c r="A937">
        <v>19002</v>
      </c>
      <c r="B937" t="s">
        <v>1271</v>
      </c>
      <c r="C937" t="s">
        <v>988</v>
      </c>
      <c r="D937" t="s">
        <v>657</v>
      </c>
      <c r="E937" t="s">
        <v>797</v>
      </c>
      <c r="F937">
        <v>77</v>
      </c>
      <c r="G937">
        <v>2010</v>
      </c>
      <c r="H937">
        <v>978</v>
      </c>
      <c r="I937">
        <v>0</v>
      </c>
      <c r="J937">
        <v>0</v>
      </c>
      <c r="K937">
        <v>0</v>
      </c>
    </row>
    <row r="938" spans="1:11">
      <c r="A938">
        <v>19003</v>
      </c>
      <c r="B938" t="s">
        <v>1271</v>
      </c>
      <c r="C938" t="s">
        <v>604</v>
      </c>
      <c r="D938" t="s">
        <v>657</v>
      </c>
      <c r="E938" t="s">
        <v>797</v>
      </c>
      <c r="F938">
        <v>77</v>
      </c>
      <c r="G938">
        <v>2003</v>
      </c>
      <c r="H938">
        <v>532</v>
      </c>
      <c r="I938">
        <v>1.5</v>
      </c>
      <c r="J938">
        <v>71.671999999999997</v>
      </c>
      <c r="K938">
        <v>0</v>
      </c>
    </row>
    <row r="939" spans="1:11">
      <c r="A939">
        <v>29043</v>
      </c>
      <c r="B939" t="s">
        <v>1272</v>
      </c>
      <c r="C939" t="s">
        <v>726</v>
      </c>
      <c r="E939" t="s">
        <v>592</v>
      </c>
      <c r="F939">
        <v>2</v>
      </c>
      <c r="G939">
        <v>1953</v>
      </c>
      <c r="H939">
        <v>979</v>
      </c>
      <c r="I939">
        <v>0</v>
      </c>
      <c r="J939">
        <v>0</v>
      </c>
      <c r="K939">
        <v>0</v>
      </c>
    </row>
    <row r="940" spans="1:11">
      <c r="A940">
        <v>16004</v>
      </c>
      <c r="B940" t="s">
        <v>1273</v>
      </c>
      <c r="C940" t="s">
        <v>694</v>
      </c>
      <c r="D940" t="s">
        <v>91</v>
      </c>
      <c r="E940" t="s">
        <v>504</v>
      </c>
      <c r="F940">
        <v>63</v>
      </c>
      <c r="G940">
        <v>2003</v>
      </c>
      <c r="H940">
        <v>488</v>
      </c>
      <c r="I940">
        <v>3.25</v>
      </c>
      <c r="J940">
        <v>101.717</v>
      </c>
      <c r="K940">
        <v>0</v>
      </c>
    </row>
    <row r="941" spans="1:11">
      <c r="A941">
        <v>97294</v>
      </c>
      <c r="B941" t="s">
        <v>1274</v>
      </c>
      <c r="C941" t="s">
        <v>582</v>
      </c>
      <c r="E941" t="s">
        <v>156</v>
      </c>
      <c r="F941">
        <v>6</v>
      </c>
      <c r="G941">
        <v>1968</v>
      </c>
      <c r="H941">
        <v>980</v>
      </c>
      <c r="I941">
        <v>0</v>
      </c>
      <c r="J941">
        <v>0</v>
      </c>
      <c r="K941">
        <v>0</v>
      </c>
    </row>
    <row r="942" spans="1:11">
      <c r="A942">
        <v>13047</v>
      </c>
      <c r="B942" t="s">
        <v>1275</v>
      </c>
      <c r="C942" t="s">
        <v>545</v>
      </c>
      <c r="E942" t="s">
        <v>621</v>
      </c>
      <c r="F942">
        <v>28</v>
      </c>
      <c r="G942">
        <v>1957</v>
      </c>
      <c r="H942">
        <v>554</v>
      </c>
      <c r="I942">
        <v>2.0009999999999999</v>
      </c>
      <c r="J942">
        <v>59.915999999999997</v>
      </c>
      <c r="K942">
        <v>0</v>
      </c>
    </row>
    <row r="943" spans="1:11">
      <c r="A943">
        <v>11031</v>
      </c>
      <c r="B943" t="s">
        <v>1276</v>
      </c>
      <c r="C943" t="s">
        <v>554</v>
      </c>
      <c r="E943" t="s">
        <v>592</v>
      </c>
      <c r="F943">
        <v>2</v>
      </c>
      <c r="G943">
        <v>1966</v>
      </c>
      <c r="H943">
        <v>264</v>
      </c>
      <c r="I943">
        <v>5.1879999999999997</v>
      </c>
      <c r="J943">
        <v>423.93400000000003</v>
      </c>
      <c r="K943">
        <v>216</v>
      </c>
    </row>
    <row r="944" spans="1:11">
      <c r="A944">
        <v>22959</v>
      </c>
      <c r="B944" t="s">
        <v>1277</v>
      </c>
      <c r="C944" t="s">
        <v>554</v>
      </c>
      <c r="E944" t="s">
        <v>200</v>
      </c>
      <c r="F944">
        <v>19</v>
      </c>
      <c r="G944">
        <v>1959</v>
      </c>
      <c r="H944">
        <v>981</v>
      </c>
      <c r="I944">
        <v>0</v>
      </c>
      <c r="J944">
        <v>0</v>
      </c>
      <c r="K944">
        <v>0</v>
      </c>
    </row>
    <row r="945" spans="1:11">
      <c r="A945">
        <v>20520</v>
      </c>
      <c r="B945" t="s">
        <v>1278</v>
      </c>
      <c r="C945" t="s">
        <v>554</v>
      </c>
      <c r="E945" t="s">
        <v>729</v>
      </c>
      <c r="F945">
        <v>74</v>
      </c>
      <c r="G945">
        <v>1957</v>
      </c>
      <c r="H945">
        <v>982</v>
      </c>
      <c r="I945">
        <v>0</v>
      </c>
      <c r="J945">
        <v>0</v>
      </c>
      <c r="K945">
        <v>0</v>
      </c>
    </row>
    <row r="946" spans="1:11">
      <c r="A946">
        <v>20556</v>
      </c>
      <c r="B946" t="s">
        <v>1279</v>
      </c>
      <c r="C946" t="s">
        <v>602</v>
      </c>
      <c r="E946" t="s">
        <v>553</v>
      </c>
      <c r="F946">
        <v>79</v>
      </c>
      <c r="G946">
        <v>1987</v>
      </c>
      <c r="H946">
        <v>983</v>
      </c>
      <c r="I946">
        <v>0</v>
      </c>
      <c r="J946">
        <v>0</v>
      </c>
      <c r="K946">
        <v>0</v>
      </c>
    </row>
    <row r="947" spans="1:11">
      <c r="A947">
        <v>21861</v>
      </c>
      <c r="B947" t="s">
        <v>1280</v>
      </c>
      <c r="C947" t="s">
        <v>582</v>
      </c>
      <c r="E947" t="s">
        <v>216</v>
      </c>
      <c r="F947">
        <v>33</v>
      </c>
      <c r="G947">
        <v>1962</v>
      </c>
      <c r="H947">
        <v>984</v>
      </c>
      <c r="I947">
        <v>0</v>
      </c>
      <c r="J947">
        <v>0</v>
      </c>
      <c r="K947">
        <v>0</v>
      </c>
    </row>
    <row r="948" spans="1:11">
      <c r="A948">
        <v>22012</v>
      </c>
      <c r="B948" t="s">
        <v>1281</v>
      </c>
      <c r="C948" t="s">
        <v>552</v>
      </c>
      <c r="E948" t="s">
        <v>163</v>
      </c>
      <c r="F948">
        <v>43</v>
      </c>
      <c r="G948">
        <v>1980</v>
      </c>
      <c r="H948">
        <v>256</v>
      </c>
      <c r="I948">
        <v>6.1260000000000003</v>
      </c>
      <c r="J948">
        <v>431.14600000000002</v>
      </c>
      <c r="K948">
        <v>194</v>
      </c>
    </row>
    <row r="949" spans="1:11">
      <c r="A949">
        <v>24281</v>
      </c>
      <c r="B949" t="s">
        <v>1281</v>
      </c>
      <c r="C949" t="s">
        <v>552</v>
      </c>
      <c r="E949" t="s">
        <v>164</v>
      </c>
      <c r="F949">
        <v>52</v>
      </c>
      <c r="G949">
        <v>1969</v>
      </c>
      <c r="H949">
        <v>233</v>
      </c>
      <c r="I949">
        <v>10.438000000000001</v>
      </c>
      <c r="J949">
        <v>496.08699999999999</v>
      </c>
      <c r="K949">
        <v>166</v>
      </c>
    </row>
    <row r="950" spans="1:11">
      <c r="A950">
        <v>14052</v>
      </c>
      <c r="B950" t="s">
        <v>1282</v>
      </c>
      <c r="C950" t="s">
        <v>578</v>
      </c>
      <c r="D950" t="s">
        <v>107</v>
      </c>
      <c r="E950" t="s">
        <v>797</v>
      </c>
      <c r="F950">
        <v>77</v>
      </c>
      <c r="G950">
        <v>1970</v>
      </c>
      <c r="H950">
        <v>186</v>
      </c>
      <c r="I950">
        <v>10.952999999999999</v>
      </c>
      <c r="J950">
        <v>728.75800000000004</v>
      </c>
      <c r="K950">
        <v>233</v>
      </c>
    </row>
    <row r="951" spans="1:11">
      <c r="A951">
        <v>21795</v>
      </c>
      <c r="B951" t="s">
        <v>1283</v>
      </c>
      <c r="C951" t="s">
        <v>1284</v>
      </c>
      <c r="E951" t="s">
        <v>571</v>
      </c>
      <c r="F951">
        <v>27</v>
      </c>
      <c r="G951">
        <v>1956</v>
      </c>
      <c r="H951">
        <v>311</v>
      </c>
      <c r="I951">
        <v>4.0629999999999997</v>
      </c>
      <c r="J951">
        <v>327.70100000000002</v>
      </c>
      <c r="K951">
        <v>137</v>
      </c>
    </row>
    <row r="952" spans="1:11">
      <c r="A952">
        <v>16127</v>
      </c>
      <c r="B952" t="s">
        <v>1285</v>
      </c>
      <c r="C952" t="s">
        <v>632</v>
      </c>
      <c r="D952" t="s">
        <v>657</v>
      </c>
      <c r="E952" t="s">
        <v>592</v>
      </c>
      <c r="F952">
        <v>2</v>
      </c>
      <c r="G952">
        <v>2008</v>
      </c>
      <c r="H952">
        <v>986</v>
      </c>
      <c r="I952">
        <v>0</v>
      </c>
      <c r="J952">
        <v>0</v>
      </c>
      <c r="K952">
        <v>0</v>
      </c>
    </row>
    <row r="953" spans="1:11">
      <c r="A953">
        <v>16126</v>
      </c>
      <c r="B953" t="s">
        <v>1285</v>
      </c>
      <c r="C953" t="s">
        <v>594</v>
      </c>
      <c r="D953" t="s">
        <v>657</v>
      </c>
      <c r="E953" t="s">
        <v>592</v>
      </c>
      <c r="F953">
        <v>2</v>
      </c>
      <c r="G953">
        <v>2010</v>
      </c>
      <c r="H953">
        <v>985</v>
      </c>
      <c r="I953">
        <v>0</v>
      </c>
      <c r="J953">
        <v>0</v>
      </c>
      <c r="K953">
        <v>0</v>
      </c>
    </row>
    <row r="954" spans="1:11">
      <c r="A954">
        <v>14054</v>
      </c>
      <c r="B954" t="s">
        <v>1286</v>
      </c>
      <c r="C954" t="s">
        <v>829</v>
      </c>
      <c r="E954" t="s">
        <v>819</v>
      </c>
      <c r="F954">
        <v>7</v>
      </c>
      <c r="G954">
        <v>1962</v>
      </c>
      <c r="H954">
        <v>987</v>
      </c>
      <c r="I954">
        <v>0</v>
      </c>
      <c r="J954">
        <v>0</v>
      </c>
      <c r="K954">
        <v>0</v>
      </c>
    </row>
    <row r="955" spans="1:11">
      <c r="A955">
        <v>18120</v>
      </c>
      <c r="B955" t="s">
        <v>1287</v>
      </c>
      <c r="C955" t="s">
        <v>616</v>
      </c>
      <c r="D955" t="s">
        <v>107</v>
      </c>
      <c r="E955" t="s">
        <v>682</v>
      </c>
      <c r="F955">
        <v>91</v>
      </c>
      <c r="G955">
        <v>1972</v>
      </c>
      <c r="H955">
        <v>988</v>
      </c>
      <c r="I955">
        <v>0</v>
      </c>
      <c r="J955">
        <v>0</v>
      </c>
      <c r="K955">
        <v>0</v>
      </c>
    </row>
    <row r="956" spans="1:11">
      <c r="A956">
        <v>18082</v>
      </c>
      <c r="B956" t="s">
        <v>1288</v>
      </c>
      <c r="C956" t="s">
        <v>568</v>
      </c>
      <c r="E956" t="s">
        <v>505</v>
      </c>
      <c r="F956">
        <v>89</v>
      </c>
      <c r="G956">
        <v>1962</v>
      </c>
      <c r="H956">
        <v>989</v>
      </c>
      <c r="I956">
        <v>0</v>
      </c>
      <c r="J956">
        <v>0</v>
      </c>
      <c r="K956">
        <v>0</v>
      </c>
    </row>
    <row r="957" spans="1:11">
      <c r="A957">
        <v>18083</v>
      </c>
      <c r="B957" t="s">
        <v>1289</v>
      </c>
      <c r="C957" t="s">
        <v>864</v>
      </c>
      <c r="D957" t="s">
        <v>107</v>
      </c>
      <c r="E957" t="s">
        <v>505</v>
      </c>
      <c r="F957">
        <v>89</v>
      </c>
      <c r="G957">
        <v>1965</v>
      </c>
      <c r="H957">
        <v>990</v>
      </c>
      <c r="I957">
        <v>0</v>
      </c>
      <c r="J957">
        <v>0</v>
      </c>
      <c r="K957">
        <v>0</v>
      </c>
    </row>
    <row r="958" spans="1:11">
      <c r="A958">
        <v>19062</v>
      </c>
      <c r="B958" t="s">
        <v>1290</v>
      </c>
      <c r="C958" t="s">
        <v>887</v>
      </c>
      <c r="D958" t="s">
        <v>107</v>
      </c>
      <c r="E958" t="s">
        <v>797</v>
      </c>
      <c r="F958">
        <v>77</v>
      </c>
      <c r="G958">
        <v>1950</v>
      </c>
      <c r="H958">
        <v>332</v>
      </c>
      <c r="I958">
        <v>5.875</v>
      </c>
      <c r="J958">
        <v>269.12599999999998</v>
      </c>
      <c r="K958">
        <v>116</v>
      </c>
    </row>
    <row r="959" spans="1:11">
      <c r="A959">
        <v>25075</v>
      </c>
      <c r="B959" t="s">
        <v>1291</v>
      </c>
      <c r="C959" t="s">
        <v>565</v>
      </c>
      <c r="E959" t="s">
        <v>622</v>
      </c>
      <c r="F959">
        <v>55</v>
      </c>
      <c r="G959">
        <v>1958</v>
      </c>
      <c r="H959">
        <v>125</v>
      </c>
      <c r="I959">
        <v>13.72</v>
      </c>
      <c r="J959">
        <v>1085.366</v>
      </c>
      <c r="K959">
        <v>491</v>
      </c>
    </row>
    <row r="960" spans="1:11">
      <c r="A960">
        <v>16010</v>
      </c>
      <c r="B960" t="s">
        <v>1292</v>
      </c>
      <c r="C960" t="s">
        <v>759</v>
      </c>
      <c r="D960" t="s">
        <v>107</v>
      </c>
      <c r="E960" t="s">
        <v>501</v>
      </c>
      <c r="F960">
        <v>64</v>
      </c>
      <c r="G960">
        <v>1962</v>
      </c>
      <c r="H960">
        <v>40</v>
      </c>
      <c r="I960">
        <v>34.5</v>
      </c>
      <c r="J960">
        <v>1938.1780000000001</v>
      </c>
      <c r="K960">
        <v>503</v>
      </c>
    </row>
    <row r="961" spans="1:11">
      <c r="A961">
        <v>99600</v>
      </c>
      <c r="B961" t="s">
        <v>1293</v>
      </c>
      <c r="C961" t="s">
        <v>568</v>
      </c>
      <c r="E961" t="s">
        <v>200</v>
      </c>
      <c r="F961">
        <v>19</v>
      </c>
      <c r="G961">
        <v>1966</v>
      </c>
      <c r="H961">
        <v>197</v>
      </c>
      <c r="I961">
        <v>12.781000000000001</v>
      </c>
      <c r="J961">
        <v>666.81799999999998</v>
      </c>
      <c r="K961">
        <v>213</v>
      </c>
    </row>
    <row r="962" spans="1:11">
      <c r="A962">
        <v>15080</v>
      </c>
      <c r="B962" t="s">
        <v>1294</v>
      </c>
      <c r="C962" t="s">
        <v>745</v>
      </c>
      <c r="E962" t="s">
        <v>515</v>
      </c>
      <c r="F962">
        <v>13</v>
      </c>
      <c r="G962">
        <v>1983</v>
      </c>
      <c r="H962">
        <v>558</v>
      </c>
      <c r="I962">
        <v>2</v>
      </c>
      <c r="J962">
        <v>58.314</v>
      </c>
      <c r="K962">
        <v>0</v>
      </c>
    </row>
    <row r="963" spans="1:11">
      <c r="A963">
        <v>97297</v>
      </c>
      <c r="B963" t="s">
        <v>1295</v>
      </c>
      <c r="C963" t="s">
        <v>554</v>
      </c>
      <c r="E963" t="s">
        <v>198</v>
      </c>
      <c r="F963">
        <v>17</v>
      </c>
      <c r="G963">
        <v>1959</v>
      </c>
      <c r="H963">
        <v>991</v>
      </c>
      <c r="I963">
        <v>0</v>
      </c>
      <c r="J963">
        <v>0</v>
      </c>
      <c r="K963">
        <v>0</v>
      </c>
    </row>
    <row r="964" spans="1:11">
      <c r="A964">
        <v>99537</v>
      </c>
      <c r="B964" t="s">
        <v>1295</v>
      </c>
      <c r="C964" t="s">
        <v>577</v>
      </c>
      <c r="E964" t="s">
        <v>198</v>
      </c>
      <c r="F964">
        <v>17</v>
      </c>
      <c r="G964">
        <v>1986</v>
      </c>
      <c r="H964">
        <v>992</v>
      </c>
      <c r="I964">
        <v>0</v>
      </c>
      <c r="J964">
        <v>0</v>
      </c>
      <c r="K964">
        <v>0</v>
      </c>
    </row>
    <row r="965" spans="1:11">
      <c r="A965">
        <v>21813</v>
      </c>
      <c r="B965" t="s">
        <v>1296</v>
      </c>
      <c r="C965" t="s">
        <v>556</v>
      </c>
      <c r="D965" t="s">
        <v>107</v>
      </c>
      <c r="E965" t="s">
        <v>198</v>
      </c>
      <c r="F965">
        <v>17</v>
      </c>
      <c r="G965">
        <v>1988</v>
      </c>
      <c r="H965">
        <v>993</v>
      </c>
      <c r="I965">
        <v>0</v>
      </c>
      <c r="J965">
        <v>0</v>
      </c>
      <c r="K965">
        <v>0</v>
      </c>
    </row>
    <row r="966" spans="1:11">
      <c r="A966">
        <v>18109</v>
      </c>
      <c r="B966" t="s">
        <v>1297</v>
      </c>
      <c r="C966" t="s">
        <v>552</v>
      </c>
      <c r="E966" t="s">
        <v>782</v>
      </c>
      <c r="F966">
        <v>90</v>
      </c>
      <c r="G966">
        <v>1986</v>
      </c>
      <c r="H966">
        <v>114</v>
      </c>
      <c r="I966">
        <v>17.440000000000001</v>
      </c>
      <c r="J966">
        <v>1186.05</v>
      </c>
      <c r="K966">
        <v>474</v>
      </c>
    </row>
    <row r="967" spans="1:11">
      <c r="A967">
        <v>20569</v>
      </c>
      <c r="B967" t="s">
        <v>1297</v>
      </c>
      <c r="C967" t="s">
        <v>671</v>
      </c>
      <c r="E967" t="s">
        <v>782</v>
      </c>
      <c r="F967">
        <v>90</v>
      </c>
      <c r="G967">
        <v>1994</v>
      </c>
      <c r="H967">
        <v>556</v>
      </c>
      <c r="I967">
        <v>1.8129999999999999</v>
      </c>
      <c r="J967">
        <v>59.168999999999997</v>
      </c>
      <c r="K967">
        <v>0</v>
      </c>
    </row>
    <row r="968" spans="1:11">
      <c r="A968">
        <v>19058</v>
      </c>
      <c r="B968" t="s">
        <v>1298</v>
      </c>
      <c r="C968" t="s">
        <v>814</v>
      </c>
      <c r="D968" t="s">
        <v>657</v>
      </c>
      <c r="E968" t="s">
        <v>782</v>
      </c>
      <c r="F968">
        <v>90</v>
      </c>
      <c r="G968">
        <v>2010</v>
      </c>
      <c r="H968">
        <v>571</v>
      </c>
      <c r="I968">
        <v>1.25</v>
      </c>
      <c r="J968">
        <v>51.256</v>
      </c>
      <c r="K968">
        <v>0</v>
      </c>
    </row>
    <row r="969" spans="1:11">
      <c r="A969">
        <v>19076</v>
      </c>
      <c r="B969" t="s">
        <v>1299</v>
      </c>
      <c r="C969" t="s">
        <v>670</v>
      </c>
      <c r="D969" t="s">
        <v>91</v>
      </c>
      <c r="E969" t="s">
        <v>505</v>
      </c>
      <c r="F969">
        <v>89</v>
      </c>
      <c r="G969">
        <v>2007</v>
      </c>
      <c r="H969">
        <v>395</v>
      </c>
      <c r="I969">
        <v>4.1100000000000003</v>
      </c>
      <c r="J969">
        <v>182.74100000000001</v>
      </c>
      <c r="K969">
        <v>19</v>
      </c>
    </row>
    <row r="970" spans="1:11">
      <c r="A970">
        <v>20577</v>
      </c>
      <c r="B970" t="s">
        <v>1299</v>
      </c>
      <c r="C970" t="s">
        <v>602</v>
      </c>
      <c r="D970" t="s">
        <v>91</v>
      </c>
      <c r="E970" t="s">
        <v>505</v>
      </c>
      <c r="F970">
        <v>89</v>
      </c>
      <c r="G970">
        <v>2008</v>
      </c>
      <c r="H970">
        <v>615</v>
      </c>
      <c r="I970">
        <v>0.81299999999999994</v>
      </c>
      <c r="J970">
        <v>31.87</v>
      </c>
      <c r="K970">
        <v>0</v>
      </c>
    </row>
    <row r="971" spans="1:11">
      <c r="A971">
        <v>19079</v>
      </c>
      <c r="B971" t="s">
        <v>1299</v>
      </c>
      <c r="C971" t="s">
        <v>608</v>
      </c>
      <c r="E971" t="s">
        <v>505</v>
      </c>
      <c r="F971">
        <v>89</v>
      </c>
      <c r="G971">
        <v>1968</v>
      </c>
      <c r="H971">
        <v>362</v>
      </c>
      <c r="I971">
        <v>5.2350000000000003</v>
      </c>
      <c r="J971">
        <v>225.83</v>
      </c>
      <c r="K971">
        <v>19</v>
      </c>
    </row>
    <row r="972" spans="1:11">
      <c r="A972">
        <v>19077</v>
      </c>
      <c r="B972" t="s">
        <v>1300</v>
      </c>
      <c r="C972" t="s">
        <v>633</v>
      </c>
      <c r="D972" t="s">
        <v>107</v>
      </c>
      <c r="E972" t="s">
        <v>505</v>
      </c>
      <c r="F972">
        <v>89</v>
      </c>
      <c r="G972">
        <v>1977</v>
      </c>
      <c r="H972">
        <v>537</v>
      </c>
      <c r="I972">
        <v>1.8440000000000001</v>
      </c>
      <c r="J972">
        <v>67.477000000000004</v>
      </c>
      <c r="K972">
        <v>0</v>
      </c>
    </row>
    <row r="973" spans="1:11">
      <c r="A973">
        <v>19078</v>
      </c>
      <c r="B973" t="s">
        <v>1300</v>
      </c>
      <c r="C973" t="s">
        <v>633</v>
      </c>
      <c r="D973" t="s">
        <v>657</v>
      </c>
      <c r="E973" t="s">
        <v>505</v>
      </c>
      <c r="F973">
        <v>89</v>
      </c>
      <c r="G973">
        <v>2010</v>
      </c>
      <c r="H973">
        <v>324</v>
      </c>
      <c r="I973">
        <v>6.0949999999999998</v>
      </c>
      <c r="J973">
        <v>290.255</v>
      </c>
      <c r="K973">
        <v>50</v>
      </c>
    </row>
    <row r="974" spans="1:11">
      <c r="A974">
        <v>19075</v>
      </c>
      <c r="B974" t="s">
        <v>1300</v>
      </c>
      <c r="C974" t="s">
        <v>1301</v>
      </c>
      <c r="D974" t="s">
        <v>657</v>
      </c>
      <c r="E974" t="s">
        <v>505</v>
      </c>
      <c r="F974">
        <v>89</v>
      </c>
      <c r="G974">
        <v>2012</v>
      </c>
      <c r="H974">
        <v>469</v>
      </c>
      <c r="I974">
        <v>3.0009999999999999</v>
      </c>
      <c r="J974">
        <v>116.755</v>
      </c>
      <c r="K974">
        <v>0</v>
      </c>
    </row>
    <row r="975" spans="1:11">
      <c r="A975">
        <v>18135</v>
      </c>
      <c r="B975" t="s">
        <v>1302</v>
      </c>
      <c r="C975" t="s">
        <v>690</v>
      </c>
      <c r="D975" t="s">
        <v>107</v>
      </c>
      <c r="E975" t="s">
        <v>513</v>
      </c>
      <c r="F975">
        <v>1</v>
      </c>
      <c r="G975">
        <v>1967</v>
      </c>
      <c r="H975">
        <v>425</v>
      </c>
      <c r="I975">
        <v>3.3759999999999999</v>
      </c>
      <c r="J975">
        <v>157.96199999999999</v>
      </c>
      <c r="K975">
        <v>33</v>
      </c>
    </row>
    <row r="976" spans="1:11">
      <c r="A976">
        <v>96030</v>
      </c>
      <c r="B976" t="s">
        <v>1303</v>
      </c>
      <c r="C976" t="s">
        <v>582</v>
      </c>
      <c r="E976" t="s">
        <v>513</v>
      </c>
      <c r="F976">
        <v>1</v>
      </c>
      <c r="G976">
        <v>1950</v>
      </c>
      <c r="H976">
        <v>994</v>
      </c>
      <c r="I976">
        <v>0</v>
      </c>
      <c r="J976">
        <v>0</v>
      </c>
      <c r="K976">
        <v>0</v>
      </c>
    </row>
    <row r="977" spans="1:11">
      <c r="A977">
        <v>18061</v>
      </c>
      <c r="B977" t="s">
        <v>1304</v>
      </c>
      <c r="C977" t="s">
        <v>1305</v>
      </c>
      <c r="D977" t="s">
        <v>107</v>
      </c>
      <c r="E977" t="s">
        <v>513</v>
      </c>
      <c r="F977">
        <v>1</v>
      </c>
      <c r="G977">
        <v>1957</v>
      </c>
      <c r="H977">
        <v>995</v>
      </c>
      <c r="I977">
        <v>0</v>
      </c>
      <c r="J977">
        <v>0</v>
      </c>
      <c r="K977">
        <v>0</v>
      </c>
    </row>
    <row r="978" spans="1:11">
      <c r="A978">
        <v>24232</v>
      </c>
      <c r="B978" t="s">
        <v>1306</v>
      </c>
      <c r="C978" t="s">
        <v>726</v>
      </c>
      <c r="E978" t="s">
        <v>566</v>
      </c>
      <c r="F978">
        <v>51</v>
      </c>
      <c r="G978">
        <v>1970</v>
      </c>
      <c r="H978">
        <v>996</v>
      </c>
      <c r="I978">
        <v>0</v>
      </c>
      <c r="J978">
        <v>0</v>
      </c>
      <c r="K978">
        <v>0</v>
      </c>
    </row>
    <row r="979" spans="1:11">
      <c r="A979">
        <v>18052</v>
      </c>
      <c r="B979" t="s">
        <v>1307</v>
      </c>
      <c r="C979" t="s">
        <v>626</v>
      </c>
      <c r="E979" t="s">
        <v>765</v>
      </c>
      <c r="F979">
        <v>56</v>
      </c>
      <c r="G979">
        <v>1964</v>
      </c>
      <c r="H979">
        <v>334</v>
      </c>
      <c r="I979">
        <v>5.4379999999999997</v>
      </c>
      <c r="J979">
        <v>267.62599999999998</v>
      </c>
      <c r="K979">
        <v>84</v>
      </c>
    </row>
    <row r="980" spans="1:11">
      <c r="A980">
        <v>20526</v>
      </c>
      <c r="B980" t="s">
        <v>1308</v>
      </c>
      <c r="C980" t="s">
        <v>568</v>
      </c>
      <c r="E980" t="s">
        <v>546</v>
      </c>
      <c r="F980">
        <v>86</v>
      </c>
      <c r="G980">
        <v>1989</v>
      </c>
      <c r="H980">
        <v>997</v>
      </c>
      <c r="I980">
        <v>0</v>
      </c>
      <c r="J980">
        <v>0</v>
      </c>
      <c r="K980">
        <v>0</v>
      </c>
    </row>
    <row r="981" spans="1:11">
      <c r="A981">
        <v>20541</v>
      </c>
      <c r="B981" t="s">
        <v>1309</v>
      </c>
      <c r="C981" t="s">
        <v>609</v>
      </c>
      <c r="E981" t="s">
        <v>792</v>
      </c>
      <c r="F981">
        <v>93</v>
      </c>
      <c r="G981">
        <v>1963</v>
      </c>
      <c r="H981">
        <v>646</v>
      </c>
      <c r="I981">
        <v>0.34399999999999997</v>
      </c>
      <c r="J981">
        <v>16.672000000000001</v>
      </c>
      <c r="K981">
        <v>0</v>
      </c>
    </row>
    <row r="982" spans="1:11">
      <c r="A982">
        <v>17081</v>
      </c>
      <c r="B982" t="s">
        <v>1310</v>
      </c>
      <c r="C982" t="s">
        <v>680</v>
      </c>
      <c r="D982" t="s">
        <v>107</v>
      </c>
      <c r="E982" t="s">
        <v>516</v>
      </c>
      <c r="F982">
        <v>42</v>
      </c>
      <c r="G982">
        <v>1945</v>
      </c>
      <c r="H982">
        <v>258</v>
      </c>
      <c r="I982">
        <v>6.7039999999999997</v>
      </c>
      <c r="J982">
        <v>430.71</v>
      </c>
      <c r="K982">
        <v>132</v>
      </c>
    </row>
    <row r="983" spans="1:11">
      <c r="A983">
        <v>15075</v>
      </c>
      <c r="B983" t="s">
        <v>1311</v>
      </c>
      <c r="C983" t="s">
        <v>605</v>
      </c>
      <c r="D983" t="s">
        <v>107</v>
      </c>
      <c r="E983" t="s">
        <v>513</v>
      </c>
      <c r="F983">
        <v>1</v>
      </c>
      <c r="G983">
        <v>1956</v>
      </c>
      <c r="H983">
        <v>390</v>
      </c>
      <c r="I983">
        <v>4.1879999999999997</v>
      </c>
      <c r="J983">
        <v>189.452</v>
      </c>
      <c r="K983">
        <v>52</v>
      </c>
    </row>
    <row r="984" spans="1:11">
      <c r="A984">
        <v>98352</v>
      </c>
      <c r="B984" t="s">
        <v>1312</v>
      </c>
      <c r="C984" t="s">
        <v>624</v>
      </c>
      <c r="D984" t="s">
        <v>107</v>
      </c>
      <c r="E984" t="s">
        <v>513</v>
      </c>
      <c r="F984">
        <v>1</v>
      </c>
      <c r="G984">
        <v>1967</v>
      </c>
      <c r="H984">
        <v>451</v>
      </c>
      <c r="I984">
        <v>2.6259999999999999</v>
      </c>
      <c r="J984">
        <v>133.76499999999999</v>
      </c>
      <c r="K984">
        <v>33</v>
      </c>
    </row>
    <row r="985" spans="1:11">
      <c r="A985">
        <v>96205</v>
      </c>
      <c r="B985" t="s">
        <v>1313</v>
      </c>
      <c r="C985" t="s">
        <v>602</v>
      </c>
      <c r="E985" t="s">
        <v>513</v>
      </c>
      <c r="F985">
        <v>1</v>
      </c>
      <c r="G985">
        <v>1953</v>
      </c>
      <c r="H985">
        <v>317</v>
      </c>
      <c r="I985">
        <v>6.3129999999999997</v>
      </c>
      <c r="J985">
        <v>310.29599999999999</v>
      </c>
      <c r="K985">
        <v>74</v>
      </c>
    </row>
    <row r="986" spans="1:11">
      <c r="A986">
        <v>20527</v>
      </c>
      <c r="B986" t="s">
        <v>1314</v>
      </c>
      <c r="C986" t="s">
        <v>608</v>
      </c>
      <c r="E986" t="s">
        <v>546</v>
      </c>
      <c r="F986">
        <v>86</v>
      </c>
      <c r="G986">
        <v>1989</v>
      </c>
      <c r="H986">
        <v>998</v>
      </c>
      <c r="I986">
        <v>0</v>
      </c>
      <c r="J986">
        <v>0</v>
      </c>
      <c r="K986">
        <v>0</v>
      </c>
    </row>
    <row r="987" spans="1:11">
      <c r="A987">
        <v>21819</v>
      </c>
      <c r="B987" t="s">
        <v>1315</v>
      </c>
      <c r="C987" t="s">
        <v>620</v>
      </c>
      <c r="E987" t="s">
        <v>220</v>
      </c>
      <c r="F987">
        <v>36</v>
      </c>
      <c r="G987">
        <v>1952</v>
      </c>
      <c r="H987">
        <v>999</v>
      </c>
      <c r="I987">
        <v>0</v>
      </c>
      <c r="J987">
        <v>0</v>
      </c>
      <c r="K987">
        <v>0</v>
      </c>
    </row>
    <row r="988" spans="1:11">
      <c r="A988">
        <v>17093</v>
      </c>
      <c r="B988" t="s">
        <v>1316</v>
      </c>
      <c r="C988" t="s">
        <v>1225</v>
      </c>
      <c r="E988" t="s">
        <v>504</v>
      </c>
      <c r="F988">
        <v>63</v>
      </c>
      <c r="G988">
        <v>1967</v>
      </c>
      <c r="H988">
        <v>199</v>
      </c>
      <c r="I988">
        <v>17.658000000000001</v>
      </c>
      <c r="J988">
        <v>662.76900000000001</v>
      </c>
      <c r="K988">
        <v>28</v>
      </c>
    </row>
    <row r="989" spans="1:11">
      <c r="A989">
        <v>10047</v>
      </c>
      <c r="B989" t="s">
        <v>1316</v>
      </c>
      <c r="C989" t="s">
        <v>644</v>
      </c>
      <c r="E989" t="s">
        <v>504</v>
      </c>
      <c r="F989">
        <v>63</v>
      </c>
      <c r="G989">
        <v>1997</v>
      </c>
      <c r="H989">
        <v>138</v>
      </c>
      <c r="I989">
        <v>22.376000000000001</v>
      </c>
      <c r="J989">
        <v>1033.4100000000001</v>
      </c>
      <c r="K989">
        <v>186</v>
      </c>
    </row>
    <row r="990" spans="1:11">
      <c r="A990">
        <v>13053</v>
      </c>
      <c r="B990" t="s">
        <v>1317</v>
      </c>
      <c r="C990" t="s">
        <v>680</v>
      </c>
      <c r="D990" t="s">
        <v>107</v>
      </c>
      <c r="E990" t="s">
        <v>555</v>
      </c>
      <c r="F990">
        <v>70</v>
      </c>
      <c r="G990">
        <v>1946</v>
      </c>
      <c r="H990">
        <v>1000</v>
      </c>
      <c r="I990">
        <v>0</v>
      </c>
      <c r="J990">
        <v>0</v>
      </c>
      <c r="K990">
        <v>0</v>
      </c>
    </row>
    <row r="991" spans="1:11">
      <c r="A991">
        <v>97272</v>
      </c>
      <c r="B991" t="s">
        <v>1318</v>
      </c>
      <c r="C991" t="s">
        <v>608</v>
      </c>
      <c r="E991" t="s">
        <v>513</v>
      </c>
      <c r="F991">
        <v>1</v>
      </c>
      <c r="G991">
        <v>1957</v>
      </c>
      <c r="H991">
        <v>461</v>
      </c>
      <c r="I991">
        <v>2.5950000000000002</v>
      </c>
      <c r="J991">
        <v>125.402</v>
      </c>
      <c r="K991">
        <v>25</v>
      </c>
    </row>
    <row r="992" spans="1:11">
      <c r="A992">
        <v>15068</v>
      </c>
      <c r="B992" t="s">
        <v>1319</v>
      </c>
      <c r="C992" t="s">
        <v>745</v>
      </c>
      <c r="E992" t="s">
        <v>613</v>
      </c>
      <c r="F992">
        <v>24</v>
      </c>
      <c r="G992">
        <v>1956</v>
      </c>
      <c r="H992">
        <v>76</v>
      </c>
      <c r="I992">
        <v>23.532</v>
      </c>
      <c r="J992">
        <v>1563.09</v>
      </c>
      <c r="K992">
        <v>527</v>
      </c>
    </row>
    <row r="993" spans="1:11">
      <c r="A993">
        <v>19005</v>
      </c>
      <c r="B993" t="s">
        <v>1320</v>
      </c>
      <c r="C993" t="s">
        <v>660</v>
      </c>
      <c r="E993" t="s">
        <v>621</v>
      </c>
      <c r="F993">
        <v>28</v>
      </c>
      <c r="G993">
        <v>1959</v>
      </c>
      <c r="H993">
        <v>490</v>
      </c>
      <c r="I993">
        <v>3.5</v>
      </c>
      <c r="J993">
        <v>100.492</v>
      </c>
      <c r="K993">
        <v>0</v>
      </c>
    </row>
    <row r="994" spans="1:11">
      <c r="A994">
        <v>97262</v>
      </c>
      <c r="B994" t="s">
        <v>1321</v>
      </c>
      <c r="C994" t="s">
        <v>907</v>
      </c>
      <c r="D994" t="s">
        <v>107</v>
      </c>
      <c r="E994" t="s">
        <v>621</v>
      </c>
      <c r="F994">
        <v>28</v>
      </c>
      <c r="G994">
        <v>1964</v>
      </c>
      <c r="H994">
        <v>1001</v>
      </c>
      <c r="I994">
        <v>0</v>
      </c>
      <c r="J994">
        <v>0</v>
      </c>
      <c r="K994">
        <v>0</v>
      </c>
    </row>
    <row r="995" spans="1:11">
      <c r="A995">
        <v>21820</v>
      </c>
      <c r="B995" t="s">
        <v>1322</v>
      </c>
      <c r="C995" t="s">
        <v>1145</v>
      </c>
      <c r="E995" t="s">
        <v>220</v>
      </c>
      <c r="F995">
        <v>36</v>
      </c>
      <c r="G995">
        <v>1959</v>
      </c>
      <c r="H995">
        <v>1002</v>
      </c>
      <c r="I995">
        <v>0</v>
      </c>
      <c r="J995">
        <v>0</v>
      </c>
      <c r="K995">
        <v>0</v>
      </c>
    </row>
    <row r="996" spans="1:11">
      <c r="A996">
        <v>16012</v>
      </c>
      <c r="B996" t="s">
        <v>1323</v>
      </c>
      <c r="C996" t="s">
        <v>670</v>
      </c>
      <c r="E996" t="s">
        <v>553</v>
      </c>
      <c r="F996">
        <v>79</v>
      </c>
      <c r="G996">
        <v>2001</v>
      </c>
      <c r="H996">
        <v>1003</v>
      </c>
      <c r="I996">
        <v>0</v>
      </c>
      <c r="J996">
        <v>0</v>
      </c>
      <c r="K996">
        <v>0</v>
      </c>
    </row>
    <row r="997" spans="1:11">
      <c r="A997">
        <v>18021</v>
      </c>
      <c r="B997" t="s">
        <v>1324</v>
      </c>
      <c r="C997" t="s">
        <v>790</v>
      </c>
      <c r="D997" t="s">
        <v>107</v>
      </c>
      <c r="E997" t="s">
        <v>666</v>
      </c>
      <c r="F997">
        <v>87</v>
      </c>
      <c r="G997">
        <v>1938</v>
      </c>
      <c r="H997">
        <v>411</v>
      </c>
      <c r="I997">
        <v>2.907</v>
      </c>
      <c r="J997">
        <v>167.59</v>
      </c>
      <c r="K997">
        <v>40</v>
      </c>
    </row>
    <row r="998" spans="1:11">
      <c r="A998">
        <v>17049</v>
      </c>
      <c r="B998" t="s">
        <v>1325</v>
      </c>
      <c r="C998" t="s">
        <v>582</v>
      </c>
      <c r="E998" t="s">
        <v>220</v>
      </c>
      <c r="F998">
        <v>36</v>
      </c>
      <c r="G998">
        <v>1951</v>
      </c>
      <c r="H998">
        <v>1004</v>
      </c>
      <c r="I998">
        <v>0</v>
      </c>
      <c r="J998">
        <v>0</v>
      </c>
      <c r="K998">
        <v>0</v>
      </c>
    </row>
    <row r="999" spans="1:11">
      <c r="A999">
        <v>19044</v>
      </c>
      <c r="B999" t="s">
        <v>1326</v>
      </c>
      <c r="C999" t="s">
        <v>978</v>
      </c>
      <c r="D999" t="s">
        <v>91</v>
      </c>
      <c r="E999" t="s">
        <v>513</v>
      </c>
      <c r="F999">
        <v>1</v>
      </c>
      <c r="G999">
        <v>2007</v>
      </c>
      <c r="H999">
        <v>477</v>
      </c>
      <c r="I999">
        <v>3</v>
      </c>
      <c r="J999">
        <v>110.42700000000001</v>
      </c>
      <c r="K999">
        <v>0</v>
      </c>
    </row>
    <row r="1000" spans="1:11">
      <c r="A1000">
        <v>20575</v>
      </c>
      <c r="B1000" t="s">
        <v>1327</v>
      </c>
      <c r="C1000" t="s">
        <v>1328</v>
      </c>
      <c r="D1000" t="s">
        <v>657</v>
      </c>
      <c r="E1000" t="s">
        <v>513</v>
      </c>
      <c r="F1000">
        <v>1</v>
      </c>
      <c r="G1000">
        <v>2009</v>
      </c>
      <c r="H1000">
        <v>1005</v>
      </c>
      <c r="I1000">
        <v>0</v>
      </c>
      <c r="J1000">
        <v>0</v>
      </c>
      <c r="K1000">
        <v>0</v>
      </c>
    </row>
    <row r="1001" spans="1:11">
      <c r="A1001">
        <v>15026</v>
      </c>
      <c r="B1001" t="s">
        <v>1329</v>
      </c>
      <c r="C1001" t="s">
        <v>554</v>
      </c>
      <c r="E1001" t="s">
        <v>501</v>
      </c>
      <c r="F1001">
        <v>64</v>
      </c>
      <c r="G1001">
        <v>1964</v>
      </c>
      <c r="H1001">
        <v>1006</v>
      </c>
      <c r="I1001">
        <v>0</v>
      </c>
      <c r="J1001">
        <v>0</v>
      </c>
      <c r="K1001">
        <v>0</v>
      </c>
    </row>
    <row r="1002" spans="1:11">
      <c r="A1002">
        <v>16059</v>
      </c>
      <c r="B1002" t="s">
        <v>1329</v>
      </c>
      <c r="C1002" t="s">
        <v>569</v>
      </c>
      <c r="E1002" t="s">
        <v>841</v>
      </c>
      <c r="F1002">
        <v>83</v>
      </c>
      <c r="G1002">
        <v>1975</v>
      </c>
      <c r="H1002">
        <v>1007</v>
      </c>
      <c r="I1002">
        <v>0</v>
      </c>
      <c r="J1002">
        <v>0</v>
      </c>
      <c r="K1002">
        <v>0</v>
      </c>
    </row>
    <row r="1003" spans="1:11">
      <c r="A1003">
        <v>24258</v>
      </c>
      <c r="B1003" t="s">
        <v>1329</v>
      </c>
      <c r="C1003" t="s">
        <v>1242</v>
      </c>
      <c r="E1003" t="s">
        <v>513</v>
      </c>
      <c r="F1003">
        <v>1</v>
      </c>
      <c r="G1003">
        <v>1942</v>
      </c>
      <c r="H1003">
        <v>1008</v>
      </c>
      <c r="I1003">
        <v>0</v>
      </c>
      <c r="J1003">
        <v>0</v>
      </c>
      <c r="K1003">
        <v>0</v>
      </c>
    </row>
    <row r="1004" spans="1:11">
      <c r="A1004">
        <v>98369</v>
      </c>
      <c r="B1004" t="s">
        <v>1330</v>
      </c>
      <c r="C1004" t="s">
        <v>632</v>
      </c>
      <c r="D1004" t="s">
        <v>107</v>
      </c>
      <c r="E1004" t="s">
        <v>621</v>
      </c>
      <c r="F1004">
        <v>28</v>
      </c>
      <c r="G1004">
        <v>1957</v>
      </c>
      <c r="H1004">
        <v>1009</v>
      </c>
      <c r="I1004">
        <v>0</v>
      </c>
      <c r="J1004">
        <v>0</v>
      </c>
      <c r="K1004">
        <v>0</v>
      </c>
    </row>
    <row r="1005" spans="1:11">
      <c r="A1005">
        <v>20522</v>
      </c>
      <c r="B1005" t="s">
        <v>1331</v>
      </c>
      <c r="C1005" t="s">
        <v>601</v>
      </c>
      <c r="D1005" t="s">
        <v>657</v>
      </c>
      <c r="E1005" t="s">
        <v>797</v>
      </c>
      <c r="F1005">
        <v>77</v>
      </c>
      <c r="G1005">
        <v>2009</v>
      </c>
      <c r="H1005">
        <v>1010</v>
      </c>
      <c r="I1005">
        <v>0</v>
      </c>
      <c r="J1005">
        <v>0</v>
      </c>
      <c r="K1005">
        <v>0</v>
      </c>
    </row>
    <row r="1006" spans="1:11">
      <c r="A1006">
        <v>19057</v>
      </c>
      <c r="B1006" t="s">
        <v>1332</v>
      </c>
      <c r="C1006" t="s">
        <v>850</v>
      </c>
      <c r="D1006" t="s">
        <v>91</v>
      </c>
      <c r="E1006" t="s">
        <v>797</v>
      </c>
      <c r="F1006">
        <v>77</v>
      </c>
      <c r="G1006">
        <v>2007</v>
      </c>
      <c r="H1006">
        <v>1011</v>
      </c>
      <c r="I1006">
        <v>0</v>
      </c>
      <c r="J1006">
        <v>0</v>
      </c>
      <c r="K1006">
        <v>0</v>
      </c>
    </row>
    <row r="1007" spans="1:11">
      <c r="A1007">
        <v>24275</v>
      </c>
      <c r="B1007" t="s">
        <v>1332</v>
      </c>
      <c r="C1007" t="s">
        <v>644</v>
      </c>
      <c r="E1007" t="s">
        <v>164</v>
      </c>
      <c r="F1007">
        <v>52</v>
      </c>
      <c r="G1007">
        <v>1963</v>
      </c>
      <c r="H1007">
        <v>357</v>
      </c>
      <c r="I1007">
        <v>7.125</v>
      </c>
      <c r="J1007">
        <v>232.03</v>
      </c>
      <c r="K1007">
        <v>36</v>
      </c>
    </row>
    <row r="1008" spans="1:11">
      <c r="A1008">
        <v>14019</v>
      </c>
      <c r="B1008" t="s">
        <v>1333</v>
      </c>
      <c r="C1008" t="s">
        <v>721</v>
      </c>
      <c r="D1008" t="s">
        <v>107</v>
      </c>
      <c r="E1008" t="s">
        <v>678</v>
      </c>
      <c r="F1008">
        <v>54</v>
      </c>
      <c r="G1008">
        <v>1945</v>
      </c>
      <c r="H1008">
        <v>1012</v>
      </c>
      <c r="I1008">
        <v>0</v>
      </c>
      <c r="J1008">
        <v>0</v>
      </c>
      <c r="K1008">
        <v>0</v>
      </c>
    </row>
    <row r="1009" spans="1:11">
      <c r="A1009">
        <v>27080</v>
      </c>
      <c r="B1009" t="s">
        <v>1334</v>
      </c>
      <c r="C1009" t="s">
        <v>559</v>
      </c>
      <c r="E1009" t="s">
        <v>516</v>
      </c>
      <c r="F1009">
        <v>42</v>
      </c>
      <c r="G1009">
        <v>1970</v>
      </c>
      <c r="H1009">
        <v>280</v>
      </c>
      <c r="I1009">
        <v>4.0469999999999997</v>
      </c>
      <c r="J1009">
        <v>391.94099999999997</v>
      </c>
      <c r="K1009">
        <v>204</v>
      </c>
    </row>
    <row r="1010" spans="1:11">
      <c r="A1010">
        <v>15028</v>
      </c>
      <c r="B1010" t="s">
        <v>1335</v>
      </c>
      <c r="C1010" t="s">
        <v>577</v>
      </c>
      <c r="E1010" t="s">
        <v>553</v>
      </c>
      <c r="F1010">
        <v>79</v>
      </c>
      <c r="G1010">
        <v>1987</v>
      </c>
      <c r="H1010">
        <v>342</v>
      </c>
      <c r="I1010">
        <v>6.5940000000000003</v>
      </c>
      <c r="J1010">
        <v>255.16399999999999</v>
      </c>
      <c r="K1010">
        <v>0</v>
      </c>
    </row>
    <row r="1011" spans="1:11">
      <c r="A1011">
        <v>23086</v>
      </c>
      <c r="B1011" t="s">
        <v>1336</v>
      </c>
      <c r="C1011" t="s">
        <v>568</v>
      </c>
      <c r="E1011" t="s">
        <v>163</v>
      </c>
      <c r="F1011">
        <v>43</v>
      </c>
      <c r="G1011">
        <v>1955</v>
      </c>
      <c r="H1011">
        <v>28</v>
      </c>
      <c r="I1011">
        <v>35.313000000000002</v>
      </c>
      <c r="J1011">
        <v>2167.6759999999999</v>
      </c>
      <c r="K1011">
        <v>708</v>
      </c>
    </row>
    <row r="1012" spans="1:11">
      <c r="A1012">
        <v>16090</v>
      </c>
      <c r="B1012" t="s">
        <v>1337</v>
      </c>
      <c r="C1012" t="s">
        <v>572</v>
      </c>
      <c r="D1012" t="s">
        <v>107</v>
      </c>
      <c r="E1012" t="s">
        <v>666</v>
      </c>
      <c r="F1012">
        <v>87</v>
      </c>
      <c r="G1012">
        <v>1945</v>
      </c>
      <c r="H1012">
        <v>505</v>
      </c>
      <c r="I1012">
        <v>0.93799999999999994</v>
      </c>
      <c r="J1012">
        <v>93.903999999999996</v>
      </c>
      <c r="K1012">
        <v>49</v>
      </c>
    </row>
    <row r="1013" spans="1:11">
      <c r="A1013">
        <v>26010</v>
      </c>
      <c r="B1013" t="s">
        <v>1338</v>
      </c>
      <c r="C1013" t="s">
        <v>554</v>
      </c>
      <c r="E1013" t="s">
        <v>513</v>
      </c>
      <c r="F1013">
        <v>1</v>
      </c>
      <c r="G1013">
        <v>1953</v>
      </c>
      <c r="H1013">
        <v>45</v>
      </c>
      <c r="I1013">
        <v>29.814</v>
      </c>
      <c r="J1013">
        <v>1877.8589999999999</v>
      </c>
      <c r="K1013">
        <v>546</v>
      </c>
    </row>
    <row r="1014" spans="1:11">
      <c r="A1014">
        <v>14022</v>
      </c>
      <c r="B1014" t="s">
        <v>1339</v>
      </c>
      <c r="C1014" t="s">
        <v>632</v>
      </c>
      <c r="D1014" t="s">
        <v>107</v>
      </c>
      <c r="E1014" t="s">
        <v>622</v>
      </c>
      <c r="F1014">
        <v>55</v>
      </c>
      <c r="G1014">
        <v>1985</v>
      </c>
      <c r="H1014">
        <v>1013</v>
      </c>
      <c r="I1014">
        <v>0</v>
      </c>
      <c r="J1014">
        <v>0</v>
      </c>
      <c r="K1014">
        <v>0</v>
      </c>
    </row>
    <row r="1015" spans="1:11">
      <c r="A1015">
        <v>28009</v>
      </c>
      <c r="B1015" t="s">
        <v>1339</v>
      </c>
      <c r="C1015" t="s">
        <v>1031</v>
      </c>
      <c r="D1015" t="s">
        <v>107</v>
      </c>
      <c r="E1015" t="s">
        <v>513</v>
      </c>
      <c r="F1015">
        <v>1</v>
      </c>
      <c r="G1015">
        <v>1955</v>
      </c>
      <c r="H1015">
        <v>449</v>
      </c>
      <c r="I1015">
        <v>2.657</v>
      </c>
      <c r="J1015">
        <v>134.91499999999999</v>
      </c>
      <c r="K1015">
        <v>33</v>
      </c>
    </row>
    <row r="1016" spans="1:11">
      <c r="A1016">
        <v>16066</v>
      </c>
      <c r="B1016" t="s">
        <v>1340</v>
      </c>
      <c r="C1016" t="s">
        <v>1341</v>
      </c>
      <c r="D1016" t="s">
        <v>107</v>
      </c>
      <c r="E1016" t="s">
        <v>555</v>
      </c>
      <c r="F1016">
        <v>70</v>
      </c>
      <c r="G1016">
        <v>1945</v>
      </c>
      <c r="H1016">
        <v>1014</v>
      </c>
      <c r="I1016">
        <v>0</v>
      </c>
      <c r="J1016">
        <v>0</v>
      </c>
      <c r="K1016">
        <v>0</v>
      </c>
    </row>
    <row r="1017" spans="1:11">
      <c r="A1017">
        <v>20509</v>
      </c>
      <c r="B1017" t="s">
        <v>1342</v>
      </c>
      <c r="C1017" t="s">
        <v>745</v>
      </c>
      <c r="E1017" t="s">
        <v>768</v>
      </c>
      <c r="F1017">
        <v>45</v>
      </c>
      <c r="G1017">
        <v>1971</v>
      </c>
      <c r="H1017">
        <v>399</v>
      </c>
      <c r="I1017">
        <v>3.125</v>
      </c>
      <c r="J1017">
        <v>181.60400000000001</v>
      </c>
      <c r="K1017">
        <v>54</v>
      </c>
    </row>
    <row r="1018" spans="1:11">
      <c r="A1018">
        <v>19031</v>
      </c>
      <c r="B1018" t="s">
        <v>1343</v>
      </c>
      <c r="C1018" t="s">
        <v>802</v>
      </c>
      <c r="D1018" t="s">
        <v>91</v>
      </c>
      <c r="E1018" t="s">
        <v>584</v>
      </c>
      <c r="F1018">
        <v>69</v>
      </c>
      <c r="G1018">
        <v>2006</v>
      </c>
      <c r="H1018">
        <v>265</v>
      </c>
      <c r="I1018">
        <v>8.2210000000000001</v>
      </c>
      <c r="J1018">
        <v>423.82600000000002</v>
      </c>
      <c r="K1018">
        <v>141</v>
      </c>
    </row>
    <row r="1019" spans="1:11">
      <c r="A1019">
        <v>19017</v>
      </c>
      <c r="B1019" t="s">
        <v>1344</v>
      </c>
      <c r="C1019" t="s">
        <v>601</v>
      </c>
      <c r="D1019" t="s">
        <v>107</v>
      </c>
      <c r="E1019" t="s">
        <v>546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2P'!E116=""),"",'Hra 2P'!E116)</f>
        <v/>
      </c>
      <c r="D8" s="75" t="str">
        <f>IF(('Hra 2P'!F116=""),"",'Hra 2P'!F116)</f>
        <v/>
      </c>
      <c r="E8" s="43" t="str">
        <f ca="1">B6</f>
        <v xml:space="preserve"> - </v>
      </c>
    </row>
    <row r="9" spans="1:20" ht="18.45">
      <c r="A9" s="71"/>
      <c r="B9" s="43" t="str">
        <f ca="1">B4</f>
        <v xml:space="preserve"> - </v>
      </c>
      <c r="C9" s="75" t="str">
        <f>IF(('Hra 2P'!E117=""),"",'Hra 2P'!E117)</f>
        <v/>
      </c>
      <c r="D9" s="75" t="str">
        <f>IF(('Hra 2P'!F117=""),"",'Hra 2P'!F117)</f>
        <v/>
      </c>
      <c r="E9" s="43" t="str">
        <f ca="1">B5</f>
        <v xml:space="preserve"> - </v>
      </c>
    </row>
    <row r="10" spans="1:20" ht="18.4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8.4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8.4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S1</v>
      </c>
      <c r="D14" s="71"/>
      <c r="E14" s="71"/>
    </row>
    <row r="15" spans="1:20" ht="18.45">
      <c r="A15" s="71" t="s">
        <v>32</v>
      </c>
      <c r="B15" s="43" t="str">
        <f>IF(N(C12)+N(D12)&gt;0,IF(N(C12)&gt;N(D12),B12,E12),"")</f>
        <v/>
      </c>
      <c r="C15" s="74" t="str">
        <f>CONCATENATE($C$1,A4)</f>
        <v>S2</v>
      </c>
      <c r="D15" s="71"/>
      <c r="E15" s="71"/>
    </row>
    <row r="16" spans="1:20" ht="18.45">
      <c r="A16" s="71" t="s">
        <v>33</v>
      </c>
      <c r="B16" s="43" t="str">
        <f>IF(N(C12)+N(D12)&gt;0,IF(N(C12)&gt;N(D12),E12,B12),"")</f>
        <v/>
      </c>
      <c r="C16" s="74" t="str">
        <f>CONCATENATE($C$1,A5)</f>
        <v>S3</v>
      </c>
      <c r="D16" s="71"/>
      <c r="E16" s="71"/>
    </row>
    <row r="17" spans="1:5" ht="18.45">
      <c r="A17" s="71" t="s">
        <v>34</v>
      </c>
      <c r="B17" s="79" t="str">
        <f>IF(N(C11)+N(D11)&gt;0,IF(N(C11)&gt;N(D11),E11,B11),"")</f>
        <v/>
      </c>
      <c r="C17" s="74" t="str">
        <f>CONCATENATE($C$1,A6)</f>
        <v>S4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2P'!E122=""),"",'Hra 2P'!E122)</f>
        <v/>
      </c>
      <c r="D8" s="75" t="str">
        <f>IF(('Hra 2P'!F122=""),"",'Hra 2P'!F122)</f>
        <v/>
      </c>
      <c r="E8" s="43" t="str">
        <f ca="1">B6</f>
        <v xml:space="preserve"> - </v>
      </c>
    </row>
    <row r="9" spans="1:20" ht="18.45">
      <c r="A9" s="71"/>
      <c r="B9" s="43" t="str">
        <f ca="1">B4</f>
        <v xml:space="preserve"> - </v>
      </c>
      <c r="C9" s="75" t="str">
        <f>IF(('Hra 2P'!E123=""),"",'Hra 2P'!E123)</f>
        <v/>
      </c>
      <c r="D9" s="75" t="str">
        <f>IF(('Hra 2P'!F123=""),"",'Hra 2P'!F123)</f>
        <v/>
      </c>
      <c r="E9" s="43" t="str">
        <f ca="1">B5</f>
        <v xml:space="preserve"> - </v>
      </c>
    </row>
    <row r="10" spans="1:20" ht="18.4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8.4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8.4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T1</v>
      </c>
      <c r="D14" s="71"/>
      <c r="E14" s="71"/>
    </row>
    <row r="15" spans="1:20" ht="18.45">
      <c r="A15" s="71" t="s">
        <v>32</v>
      </c>
      <c r="B15" s="43" t="str">
        <f>IF(N(C12)+N(D12)&gt;0,IF(N(C12)&gt;N(D12),B12,E12),"")</f>
        <v/>
      </c>
      <c r="C15" s="74" t="str">
        <f>CONCATENATE($C$1,A4)</f>
        <v>T2</v>
      </c>
      <c r="D15" s="71"/>
      <c r="E15" s="71"/>
    </row>
    <row r="16" spans="1:20" ht="18.45">
      <c r="A16" s="71" t="s">
        <v>33</v>
      </c>
      <c r="B16" s="43" t="str">
        <f>IF(N(C12)+N(D12)&gt;0,IF(N(C12)&gt;N(D12),E12,B12),"")</f>
        <v/>
      </c>
      <c r="C16" s="74" t="str">
        <f>CONCATENATE($C$1,A5)</f>
        <v>T3</v>
      </c>
      <c r="D16" s="71"/>
      <c r="E16" s="71"/>
    </row>
    <row r="17" spans="1:5" ht="18.45">
      <c r="A17" s="71" t="s">
        <v>34</v>
      </c>
      <c r="B17" s="79" t="str">
        <f>IF(N(C11)+N(D11)&gt;0,IF(N(C11)&gt;N(D11),E11,B11),"")</f>
        <v/>
      </c>
      <c r="C17" s="74" t="str">
        <f>CONCATENATE($C$1,A6)</f>
        <v>T4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2P'!E128=""),"",'Hra 2P'!E128)</f>
        <v/>
      </c>
      <c r="D8" s="75" t="str">
        <f>IF(('Hra 2P'!F128=""),"",'Hra 2P'!F128)</f>
        <v/>
      </c>
      <c r="E8" s="43" t="str">
        <f ca="1">B6</f>
        <v xml:space="preserve"> - </v>
      </c>
    </row>
    <row r="9" spans="1:20" ht="18.45">
      <c r="A9" s="71"/>
      <c r="B9" s="43" t="str">
        <f ca="1">B4</f>
        <v xml:space="preserve"> - </v>
      </c>
      <c r="C9" s="75" t="str">
        <f>IF(('Hra 2P'!E129=""),"",'Hra 2P'!E129)</f>
        <v/>
      </c>
      <c r="D9" s="75" t="str">
        <f>IF(('Hra 2P'!F129=""),"",'Hra 2P'!F129)</f>
        <v/>
      </c>
      <c r="E9" s="43" t="str">
        <f ca="1">B5</f>
        <v xml:space="preserve"> - </v>
      </c>
    </row>
    <row r="10" spans="1:20" ht="18.4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8.4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8.4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U1</v>
      </c>
      <c r="D14" s="71"/>
      <c r="E14" s="71"/>
    </row>
    <row r="15" spans="1:20" ht="18.45">
      <c r="A15" s="71" t="s">
        <v>32</v>
      </c>
      <c r="B15" s="43" t="str">
        <f>IF(N(C12)+N(D12)&gt;0,IF(N(C12)&gt;N(D12),B12,E12),"")</f>
        <v/>
      </c>
      <c r="C15" s="74" t="str">
        <f>CONCATENATE($C$1,A4)</f>
        <v>U2</v>
      </c>
      <c r="D15" s="71"/>
      <c r="E15" s="71"/>
    </row>
    <row r="16" spans="1:20" ht="18.45">
      <c r="A16" s="71" t="s">
        <v>33</v>
      </c>
      <c r="B16" s="43" t="str">
        <f>IF(N(C12)+N(D12)&gt;0,IF(N(C12)&gt;N(D12),E12,B12),"")</f>
        <v/>
      </c>
      <c r="C16" s="74" t="str">
        <f>CONCATENATE($C$1,A5)</f>
        <v>U3</v>
      </c>
      <c r="D16" s="71"/>
      <c r="E16" s="71"/>
    </row>
    <row r="17" spans="1:5" ht="18.45">
      <c r="A17" s="71" t="s">
        <v>34</v>
      </c>
      <c r="B17" s="79" t="str">
        <f>IF(N(C11)+N(D11)&gt;0,IF(N(C11)&gt;N(D11),E11,B11),"")</f>
        <v/>
      </c>
      <c r="C17" s="74" t="str">
        <f>CONCATENATE($C$1,A6)</f>
        <v>U4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2P'!E134=""),"",'Hra 2P'!E134)</f>
        <v/>
      </c>
      <c r="D8" s="75" t="str">
        <f>IF(('Hra 2P'!F134=""),"",'Hra 2P'!F134)</f>
        <v/>
      </c>
      <c r="E8" s="43" t="str">
        <f ca="1">B6</f>
        <v xml:space="preserve"> - </v>
      </c>
    </row>
    <row r="9" spans="1:20" ht="18.45">
      <c r="A9" s="71"/>
      <c r="B9" s="43" t="str">
        <f ca="1">B4</f>
        <v xml:space="preserve"> - </v>
      </c>
      <c r="C9" s="75" t="str">
        <f>IF(('Hra 2P'!E135=""),"",'Hra 2P'!E135)</f>
        <v/>
      </c>
      <c r="D9" s="75" t="str">
        <f>IF(('Hra 2P'!F135=""),"",'Hra 2P'!F135)</f>
        <v/>
      </c>
      <c r="E9" s="43" t="str">
        <f ca="1">B5</f>
        <v xml:space="preserve"> - </v>
      </c>
    </row>
    <row r="10" spans="1:20" ht="18.4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8.4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8.4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V1</v>
      </c>
      <c r="D14" s="71"/>
      <c r="E14" s="71"/>
    </row>
    <row r="15" spans="1:20" ht="18.45">
      <c r="A15" s="71" t="s">
        <v>32</v>
      </c>
      <c r="B15" s="43" t="str">
        <f>IF(N(C12)+N(D12)&gt;0,IF(N(C12)&gt;N(D12),B12,E12),"")</f>
        <v/>
      </c>
      <c r="C15" s="74" t="str">
        <f>CONCATENATE($C$1,A4)</f>
        <v>V2</v>
      </c>
      <c r="D15" s="71"/>
      <c r="E15" s="71"/>
    </row>
    <row r="16" spans="1:20" ht="18.45">
      <c r="A16" s="71" t="s">
        <v>33</v>
      </c>
      <c r="B16" s="43" t="str">
        <f>IF(N(C12)+N(D12)&gt;0,IF(N(C12)&gt;N(D12),E12,B12),"")</f>
        <v/>
      </c>
      <c r="C16" s="74" t="str">
        <f>CONCATENATE($C$1,A5)</f>
        <v>V3</v>
      </c>
      <c r="D16" s="71"/>
      <c r="E16" s="71"/>
    </row>
    <row r="17" spans="1:5" ht="18.45">
      <c r="A17" s="71" t="s">
        <v>34</v>
      </c>
      <c r="B17" s="79" t="str">
        <f>IF(N(C11)+N(D11)&gt;0,IF(N(C11)&gt;N(D11),E11,B11),"")</f>
        <v/>
      </c>
      <c r="C17" s="74" t="str">
        <f>CONCATENATE($C$1,A6)</f>
        <v>V4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2P'!E140=""),"",'Hra 2P'!E140)</f>
        <v/>
      </c>
      <c r="D8" s="75" t="str">
        <f>IF(('Hra 2P'!F140=""),"",'Hra 2P'!F140)</f>
        <v/>
      </c>
      <c r="E8" s="43" t="str">
        <f ca="1">B6</f>
        <v xml:space="preserve"> - </v>
      </c>
    </row>
    <row r="9" spans="1:20" ht="18.45">
      <c r="A9" s="71"/>
      <c r="B9" s="43" t="str">
        <f ca="1">B4</f>
        <v xml:space="preserve"> - </v>
      </c>
      <c r="C9" s="75" t="str">
        <f>IF(('Hra 2P'!E141=""),"",'Hra 2P'!E141)</f>
        <v/>
      </c>
      <c r="D9" s="75" t="str">
        <f>IF(('Hra 2P'!F141=""),"",'Hra 2P'!F141)</f>
        <v/>
      </c>
      <c r="E9" s="43" t="str">
        <f ca="1">B5</f>
        <v xml:space="preserve"> - </v>
      </c>
    </row>
    <row r="10" spans="1:20" ht="18.4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8.4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8.4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W1</v>
      </c>
      <c r="D14" s="71"/>
      <c r="E14" s="71"/>
    </row>
    <row r="15" spans="1:20" ht="18.45">
      <c r="A15" s="71" t="s">
        <v>32</v>
      </c>
      <c r="B15" s="43" t="str">
        <f>IF(N(C12)+N(D12)&gt;0,IF(N(C12)&gt;N(D12),B12,E12),"")</f>
        <v/>
      </c>
      <c r="C15" s="74" t="str">
        <f>CONCATENATE($C$1,A4)</f>
        <v>W2</v>
      </c>
      <c r="D15" s="71"/>
      <c r="E15" s="71"/>
    </row>
    <row r="16" spans="1:20" ht="18.45">
      <c r="A16" s="71" t="s">
        <v>33</v>
      </c>
      <c r="B16" s="43" t="str">
        <f>IF(N(C12)+N(D12)&gt;0,IF(N(C12)&gt;N(D12),E12,B12),"")</f>
        <v/>
      </c>
      <c r="C16" s="74" t="str">
        <f>CONCATENATE($C$1,A5)</f>
        <v>W3</v>
      </c>
      <c r="D16" s="71"/>
      <c r="E16" s="71"/>
    </row>
    <row r="17" spans="1:5" ht="18.45">
      <c r="A17" s="71" t="s">
        <v>34</v>
      </c>
      <c r="B17" s="79" t="str">
        <f>IF(N(C11)+N(D11)&gt;0,IF(N(C11)&gt;N(D11),E11,B11),"")</f>
        <v/>
      </c>
      <c r="C17" s="74" t="str">
        <f>CONCATENATE($C$1,A6)</f>
        <v>W4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2P'!E146=""),"",'Hra 2P'!E146)</f>
        <v/>
      </c>
      <c r="D8" s="75" t="str">
        <f>IF(('Hra 2P'!F146=""),"",'Hra 2P'!F146)</f>
        <v/>
      </c>
      <c r="E8" s="43" t="str">
        <f ca="1">B6</f>
        <v xml:space="preserve"> - </v>
      </c>
    </row>
    <row r="9" spans="1:20" ht="18.45">
      <c r="A9" s="71"/>
      <c r="B9" s="43" t="str">
        <f ca="1">B4</f>
        <v xml:space="preserve"> - </v>
      </c>
      <c r="C9" s="75" t="str">
        <f>IF(('Hra 2P'!E147=""),"",'Hra 2P'!E147)</f>
        <v/>
      </c>
      <c r="D9" s="75" t="str">
        <f>IF(('Hra 2P'!F147=""),"",'Hra 2P'!F147)</f>
        <v/>
      </c>
      <c r="E9" s="43" t="str">
        <f ca="1">B5</f>
        <v xml:space="preserve"> - </v>
      </c>
    </row>
    <row r="10" spans="1:20" ht="18.4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8.4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8.4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X1</v>
      </c>
      <c r="D14" s="71"/>
      <c r="E14" s="71"/>
    </row>
    <row r="15" spans="1:20" ht="18.45">
      <c r="A15" s="71" t="s">
        <v>32</v>
      </c>
      <c r="B15" s="43" t="str">
        <f>IF(N(C12)+N(D12)&gt;0,IF(N(C12)&gt;N(D12),B12,E12),"")</f>
        <v/>
      </c>
      <c r="C15" s="74" t="str">
        <f>CONCATENATE($C$1,A4)</f>
        <v>X2</v>
      </c>
      <c r="D15" s="71"/>
      <c r="E15" s="71"/>
    </row>
    <row r="16" spans="1:20" ht="18.45">
      <c r="A16" s="71" t="s">
        <v>33</v>
      </c>
      <c r="B16" s="43" t="str">
        <f>IF(N(C12)+N(D12)&gt;0,IF(N(C12)&gt;N(D12),E12,B12),"")</f>
        <v/>
      </c>
      <c r="C16" s="74" t="str">
        <f>CONCATENATE($C$1,A5)</f>
        <v>X3</v>
      </c>
      <c r="D16" s="71"/>
      <c r="E16" s="71"/>
    </row>
    <row r="17" spans="1:5" ht="18.45">
      <c r="A17" s="71" t="s">
        <v>34</v>
      </c>
      <c r="B17" s="79" t="str">
        <f>IF(N(C11)+N(D11)&gt;0,IF(N(C11)&gt;N(D11),E11,B11),"")</f>
        <v/>
      </c>
      <c r="C17" s="74" t="str">
        <f>CONCATENATE($C$1,A6)</f>
        <v>X4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2P'!E152=""),"",'Hra 2P'!E152)</f>
        <v/>
      </c>
      <c r="D8" s="75" t="str">
        <f>IF(('Hra 2P'!F152=""),"",'Hra 2P'!F152)</f>
        <v/>
      </c>
      <c r="E8" s="43" t="str">
        <f ca="1">B6</f>
        <v xml:space="preserve"> - </v>
      </c>
    </row>
    <row r="9" spans="1:20" ht="18.45">
      <c r="A9" s="71"/>
      <c r="B9" s="43" t="str">
        <f ca="1">B4</f>
        <v xml:space="preserve"> - </v>
      </c>
      <c r="C9" s="75" t="str">
        <f>IF(('Hra 2P'!E153=""),"",'Hra 2P'!E153)</f>
        <v/>
      </c>
      <c r="D9" s="75" t="str">
        <f>IF(('Hra 2P'!F153=""),"",'Hra 2P'!F153)</f>
        <v/>
      </c>
      <c r="E9" s="43" t="str">
        <f ca="1">B5</f>
        <v xml:space="preserve"> - </v>
      </c>
    </row>
    <row r="10" spans="1:20" ht="18.4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8.4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8.4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Y1</v>
      </c>
      <c r="D14" s="71"/>
      <c r="E14" s="71"/>
    </row>
    <row r="15" spans="1:20" ht="18.45">
      <c r="A15" s="71" t="s">
        <v>32</v>
      </c>
      <c r="B15" s="43" t="str">
        <f>IF(N(C12)+N(D12)&gt;0,IF(N(C12)&gt;N(D12),B12,E12),"")</f>
        <v/>
      </c>
      <c r="C15" s="74" t="str">
        <f>CONCATENATE($C$1,A4)</f>
        <v>Y2</v>
      </c>
      <c r="D15" s="71"/>
      <c r="E15" s="71"/>
    </row>
    <row r="16" spans="1:20" ht="18.45">
      <c r="A16" s="71" t="s">
        <v>33</v>
      </c>
      <c r="B16" s="43" t="str">
        <f>IF(N(C12)+N(D12)&gt;0,IF(N(C12)&gt;N(D12),E12,B12),"")</f>
        <v/>
      </c>
      <c r="C16" s="74" t="str">
        <f>CONCATENATE($C$1,A5)</f>
        <v>Y3</v>
      </c>
      <c r="D16" s="71"/>
      <c r="E16" s="71"/>
    </row>
    <row r="17" spans="1:5" ht="18.45">
      <c r="A17" s="71" t="s">
        <v>34</v>
      </c>
      <c r="B17" s="79" t="str">
        <f>IF(N(C11)+N(D11)&gt;0,IF(N(C11)&gt;N(D11),E11,B11),"")</f>
        <v/>
      </c>
      <c r="C17" s="74" t="str">
        <f>CONCATENATE($C$1,A6)</f>
        <v>Y4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2P'!E158=""),"",'Hra 2P'!E158)</f>
        <v/>
      </c>
      <c r="D8" s="75" t="str">
        <f>IF(('Hra 2P'!F158=""),"",'Hra 2P'!F158)</f>
        <v/>
      </c>
      <c r="E8" s="43" t="str">
        <f ca="1">B6</f>
        <v xml:space="preserve"> - </v>
      </c>
    </row>
    <row r="9" spans="1:20" ht="18.45">
      <c r="A9" s="71"/>
      <c r="B9" s="43" t="str">
        <f ca="1">B4</f>
        <v xml:space="preserve"> - </v>
      </c>
      <c r="C9" s="75" t="str">
        <f>IF(('Hra 2P'!E159=""),"",'Hra 2P'!E159)</f>
        <v/>
      </c>
      <c r="D9" s="75" t="str">
        <f>IF(('Hra 2P'!F159=""),"",'Hra 2P'!F159)</f>
        <v/>
      </c>
      <c r="E9" s="43" t="str">
        <f ca="1">B5</f>
        <v xml:space="preserve"> - </v>
      </c>
    </row>
    <row r="10" spans="1:20" ht="18.4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8.4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8.4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Z1</v>
      </c>
      <c r="D14" s="71"/>
      <c r="E14" s="71"/>
    </row>
    <row r="15" spans="1:20" ht="18.45">
      <c r="A15" s="71" t="s">
        <v>32</v>
      </c>
      <c r="B15" s="43" t="str">
        <f>IF(N(C12)+N(D12)&gt;0,IF(N(C12)&gt;N(D12),B12,E12),"")</f>
        <v/>
      </c>
      <c r="C15" s="74" t="str">
        <f>CONCATENATE($C$1,A4)</f>
        <v>Z2</v>
      </c>
      <c r="D15" s="71"/>
      <c r="E15" s="71"/>
    </row>
    <row r="16" spans="1:20" ht="18.45">
      <c r="A16" s="71" t="s">
        <v>33</v>
      </c>
      <c r="B16" s="43" t="str">
        <f>IF(N(C12)+N(D12)&gt;0,IF(N(C12)&gt;N(D12),E12,B12),"")</f>
        <v/>
      </c>
      <c r="C16" s="74" t="str">
        <f>CONCATENATE($C$1,A5)</f>
        <v>Z3</v>
      </c>
      <c r="D16" s="71"/>
      <c r="E16" s="71"/>
    </row>
    <row r="17" spans="1:5" ht="18.45">
      <c r="A17" s="71" t="s">
        <v>34</v>
      </c>
      <c r="B17" s="79" t="str">
        <f>IF(N(C11)+N(D11)&gt;0,IF(N(C11)&gt;N(D11),E11,B11),"")</f>
        <v/>
      </c>
      <c r="C17" s="74" t="str">
        <f>CONCATENATE($C$1,A6)</f>
        <v>Z4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List4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2P'!E164=""),"",'Hra 2P'!E164)</f>
        <v/>
      </c>
      <c r="D8" s="75" t="str">
        <f>IF(('Hra 2P'!F164=""),"",'Hra 2P'!F164)</f>
        <v/>
      </c>
      <c r="E8" s="43" t="str">
        <f ca="1">B6</f>
        <v xml:space="preserve"> - </v>
      </c>
    </row>
    <row r="9" spans="1:20" ht="18.45">
      <c r="A9" s="71"/>
      <c r="B9" s="43" t="str">
        <f ca="1">B4</f>
        <v xml:space="preserve"> - </v>
      </c>
      <c r="C9" s="75" t="str">
        <f>IF(('Hra 2P'!E165=""),"",'Hra 2P'!E165)</f>
        <v/>
      </c>
      <c r="D9" s="75" t="str">
        <f>IF(('Hra 2P'!F165=""),"",'Hra 2P'!F165)</f>
        <v/>
      </c>
      <c r="E9" s="43" t="str">
        <f ca="1">B5</f>
        <v xml:space="preserve"> - </v>
      </c>
    </row>
    <row r="10" spans="1:20" ht="18.4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8.4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8.4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AA1</v>
      </c>
      <c r="D14" s="71"/>
      <c r="E14" s="71"/>
    </row>
    <row r="15" spans="1:20" ht="18.45">
      <c r="A15" s="71" t="s">
        <v>32</v>
      </c>
      <c r="B15" s="43" t="str">
        <f>IF(N(C12)+N(D12)&gt;0,IF(N(C12)&gt;N(D12),B12,E12),"")</f>
        <v/>
      </c>
      <c r="C15" s="74" t="str">
        <f>CONCATENATE($C$1,A4)</f>
        <v>AA2</v>
      </c>
      <c r="D15" s="71"/>
      <c r="E15" s="71"/>
    </row>
    <row r="16" spans="1:20" ht="18.45">
      <c r="A16" s="71" t="s">
        <v>33</v>
      </c>
      <c r="B16" s="43" t="str">
        <f>IF(N(C12)+N(D12)&gt;0,IF(N(C12)&gt;N(D12),E12,B12),"")</f>
        <v/>
      </c>
      <c r="C16" s="74" t="str">
        <f>CONCATENATE($C$1,A5)</f>
        <v>AA3</v>
      </c>
      <c r="D16" s="71"/>
      <c r="E16" s="71"/>
    </row>
    <row r="17" spans="1:5" ht="18.45">
      <c r="A17" s="71" t="s">
        <v>34</v>
      </c>
      <c r="B17" s="79" t="str">
        <f>IF(N(C11)+N(D11)&gt;0,IF(N(C11)&gt;N(D11),E11,B11),"")</f>
        <v/>
      </c>
      <c r="C17" s="74" t="str">
        <f>CONCATENATE($C$1,A6)</f>
        <v>AA4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2P'!E170=""),"",'Hra 2P'!E170)</f>
        <v/>
      </c>
      <c r="D8" s="75" t="str">
        <f>IF(('Hra 2P'!F170=""),"",'Hra 2P'!F170)</f>
        <v/>
      </c>
      <c r="E8" s="43" t="str">
        <f ca="1">B6</f>
        <v xml:space="preserve"> - </v>
      </c>
    </row>
    <row r="9" spans="1:20" ht="18.45">
      <c r="A9" s="71"/>
      <c r="B9" s="43" t="str">
        <f ca="1">B4</f>
        <v xml:space="preserve"> - </v>
      </c>
      <c r="C9" s="75" t="str">
        <f>IF(('Hra 2P'!E171=""),"",'Hra 2P'!E171)</f>
        <v/>
      </c>
      <c r="D9" s="75" t="str">
        <f>IF(('Hra 2P'!F171=""),"",'Hra 2P'!F171)</f>
        <v/>
      </c>
      <c r="E9" s="43" t="str">
        <f ca="1">B5</f>
        <v xml:space="preserve"> - </v>
      </c>
    </row>
    <row r="10" spans="1:20" ht="18.4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8.4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8.4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AB1</v>
      </c>
      <c r="D14" s="71"/>
      <c r="E14" s="71"/>
    </row>
    <row r="15" spans="1:20" ht="18.45">
      <c r="A15" s="71" t="s">
        <v>32</v>
      </c>
      <c r="B15" s="43" t="str">
        <f>IF(N(C12)+N(D12)&gt;0,IF(N(C12)&gt;N(D12),B12,E12),"")</f>
        <v/>
      </c>
      <c r="C15" s="74" t="str">
        <f>CONCATENATE($C$1,A4)</f>
        <v>AB2</v>
      </c>
      <c r="D15" s="71"/>
      <c r="E15" s="71"/>
    </row>
    <row r="16" spans="1:20" ht="18.45">
      <c r="A16" s="71" t="s">
        <v>33</v>
      </c>
      <c r="B16" s="43" t="str">
        <f>IF(N(C12)+N(D12)&gt;0,IF(N(C12)&gt;N(D12),E12,B12),"")</f>
        <v/>
      </c>
      <c r="C16" s="74" t="str">
        <f>CONCATENATE($C$1,A5)</f>
        <v>AB3</v>
      </c>
      <c r="D16" s="71"/>
      <c r="E16" s="71"/>
    </row>
    <row r="17" spans="1:5" ht="18.45">
      <c r="A17" s="71" t="s">
        <v>34</v>
      </c>
      <c r="B17" s="79" t="str">
        <f>IF(N(C11)+N(D11)&gt;0,IF(N(C11)&gt;N(D11),E11,B11),"")</f>
        <v/>
      </c>
      <c r="C17" s="74" t="str">
        <f>CONCATENATE($C$1,A6)</f>
        <v>AB4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9">
    <tabColor rgb="FF00B0F0"/>
  </sheetPr>
  <dimension ref="A1:H668"/>
  <sheetViews>
    <sheetView topLeftCell="A283" workbookViewId="0">
      <selection sqref="A1:F302"/>
    </sheetView>
  </sheetViews>
  <sheetFormatPr defaultRowHeight="12"/>
  <cols>
    <col min="1" max="1" width="13.75" customWidth="1"/>
    <col min="2" max="2" width="39.75" customWidth="1"/>
    <col min="3" max="3" width="28.83203125" customWidth="1"/>
    <col min="4" max="4" width="17.4140625" customWidth="1"/>
    <col min="5" max="5" width="5.4140625" customWidth="1"/>
    <col min="6" max="6" width="9.4140625" customWidth="1"/>
  </cols>
  <sheetData>
    <row r="1" spans="1:8" ht="31.2" customHeight="1">
      <c r="A1" s="485"/>
      <c r="B1" s="485"/>
      <c r="C1" s="485"/>
      <c r="D1" s="485"/>
      <c r="E1" s="486">
        <v>24010</v>
      </c>
      <c r="F1" s="486"/>
      <c r="G1" s="379" t="s">
        <v>459</v>
      </c>
      <c r="H1" s="14"/>
    </row>
    <row r="2" spans="1:8" ht="13.2" customHeight="1">
      <c r="A2" s="485"/>
      <c r="B2" s="485" t="s">
        <v>1704</v>
      </c>
      <c r="C2" s="487"/>
      <c r="D2" s="485"/>
      <c r="E2" s="485"/>
      <c r="F2" s="485"/>
      <c r="H2" s="14"/>
    </row>
    <row r="3" spans="1:8" ht="13.2" customHeight="1" thickBot="1">
      <c r="A3" s="488" t="s">
        <v>1705</v>
      </c>
      <c r="B3" s="488" t="s">
        <v>529</v>
      </c>
      <c r="C3" s="489" t="s">
        <v>1706</v>
      </c>
      <c r="D3" s="488"/>
      <c r="E3" s="490">
        <v>45444</v>
      </c>
      <c r="F3" s="491" t="s">
        <v>1707</v>
      </c>
      <c r="G3" s="377" t="s">
        <v>460</v>
      </c>
      <c r="H3" s="14"/>
    </row>
    <row r="4" spans="1:8" ht="10.95" customHeight="1">
      <c r="A4" s="485"/>
      <c r="B4" s="485"/>
      <c r="C4" s="485"/>
      <c r="D4" s="485"/>
      <c r="E4" s="485"/>
      <c r="F4" s="485"/>
      <c r="G4" s="377" t="s">
        <v>453</v>
      </c>
      <c r="H4" s="14"/>
    </row>
    <row r="5" spans="1:8" ht="13.2" customHeight="1">
      <c r="A5" s="485"/>
      <c r="B5" s="485"/>
      <c r="C5" s="485"/>
      <c r="D5" s="485"/>
      <c r="E5" s="485"/>
      <c r="F5" s="485"/>
      <c r="G5" s="377" t="s">
        <v>0</v>
      </c>
      <c r="H5" s="14"/>
    </row>
    <row r="6" spans="1:8" ht="26.5" customHeight="1">
      <c r="A6" s="485"/>
      <c r="B6" s="485"/>
      <c r="C6" s="485"/>
      <c r="D6" s="485"/>
      <c r="E6" s="485"/>
      <c r="F6" s="485"/>
      <c r="G6" s="14"/>
      <c r="H6" s="14"/>
    </row>
    <row r="7" spans="1:8" ht="8.5" customHeight="1" thickBot="1">
      <c r="A7" s="485"/>
      <c r="B7" s="485"/>
      <c r="C7" s="485"/>
      <c r="D7" s="485"/>
      <c r="E7" s="485"/>
      <c r="F7" s="485"/>
      <c r="G7" s="14"/>
      <c r="H7" s="14"/>
    </row>
    <row r="8" spans="1:8" ht="26.5" customHeight="1" thickBot="1">
      <c r="A8" s="492" t="s">
        <v>1708</v>
      </c>
      <c r="B8" s="494" t="s">
        <v>1709</v>
      </c>
      <c r="C8" s="493" t="s">
        <v>60</v>
      </c>
      <c r="D8" s="493">
        <v>1</v>
      </c>
      <c r="E8" s="492" t="s">
        <v>61</v>
      </c>
      <c r="F8" s="492" t="s">
        <v>1710</v>
      </c>
      <c r="G8" s="377"/>
      <c r="H8" s="14"/>
    </row>
    <row r="9" spans="1:8" ht="13.3" thickBot="1">
      <c r="A9" s="495">
        <v>21774</v>
      </c>
      <c r="B9" s="496" t="s">
        <v>1711</v>
      </c>
      <c r="C9" s="496" t="s">
        <v>198</v>
      </c>
      <c r="D9" s="496"/>
      <c r="E9" s="495">
        <v>6</v>
      </c>
      <c r="F9" s="495" t="s">
        <v>1712</v>
      </c>
      <c r="G9" s="377" t="s">
        <v>455</v>
      </c>
      <c r="H9" s="14"/>
    </row>
    <row r="10" spans="1:8" ht="13.3" thickBot="1">
      <c r="A10" s="495">
        <v>11039</v>
      </c>
      <c r="B10" s="496" t="s">
        <v>1713</v>
      </c>
      <c r="C10" s="496" t="s">
        <v>963</v>
      </c>
      <c r="D10" s="496"/>
      <c r="E10" s="495">
        <v>3</v>
      </c>
      <c r="F10" s="495" t="s">
        <v>1714</v>
      </c>
      <c r="G10" s="377" t="s">
        <v>452</v>
      </c>
      <c r="H10" s="14"/>
    </row>
    <row r="11" spans="1:8">
      <c r="A11" s="495">
        <v>29062</v>
      </c>
      <c r="B11" s="496" t="s">
        <v>1715</v>
      </c>
      <c r="C11" s="496" t="s">
        <v>202</v>
      </c>
      <c r="D11" s="496"/>
      <c r="E11" s="495">
        <v>2</v>
      </c>
      <c r="F11" s="495" t="s">
        <v>1716</v>
      </c>
      <c r="H11" s="14"/>
    </row>
    <row r="12" spans="1:8" ht="13.3" thickBot="1">
      <c r="A12" s="485"/>
      <c r="B12" s="485"/>
      <c r="C12" s="485"/>
      <c r="D12" s="485"/>
      <c r="E12" s="485"/>
      <c r="F12" s="485"/>
      <c r="G12" s="377"/>
      <c r="H12" s="14"/>
    </row>
    <row r="13" spans="1:8" ht="22.75" thickBot="1">
      <c r="A13" s="492" t="s">
        <v>1708</v>
      </c>
      <c r="B13" s="494" t="s">
        <v>1709</v>
      </c>
      <c r="C13" s="493" t="s">
        <v>60</v>
      </c>
      <c r="D13" s="493">
        <v>2</v>
      </c>
      <c r="E13" s="492" t="s">
        <v>61</v>
      </c>
      <c r="F13" s="492" t="s">
        <v>1717</v>
      </c>
      <c r="G13" s="377"/>
      <c r="H13" s="14"/>
    </row>
    <row r="14" spans="1:8" ht="13.3" thickBot="1">
      <c r="A14" s="495">
        <v>14075</v>
      </c>
      <c r="B14" s="496" t="s">
        <v>1718</v>
      </c>
      <c r="C14" s="496" t="s">
        <v>202</v>
      </c>
      <c r="D14" s="496"/>
      <c r="E14" s="495">
        <v>10</v>
      </c>
      <c r="F14" s="495" t="s">
        <v>1712</v>
      </c>
      <c r="G14" s="377"/>
      <c r="H14" s="14"/>
    </row>
    <row r="15" spans="1:8" ht="13.3" thickBot="1">
      <c r="A15" s="495">
        <v>15058</v>
      </c>
      <c r="B15" s="496" t="s">
        <v>1719</v>
      </c>
      <c r="C15" s="496" t="s">
        <v>202</v>
      </c>
      <c r="D15" s="496"/>
      <c r="E15" s="495">
        <v>17</v>
      </c>
      <c r="F15" s="495" t="s">
        <v>1720</v>
      </c>
      <c r="G15" s="377"/>
      <c r="H15" s="14"/>
    </row>
    <row r="16" spans="1:8" ht="12.9">
      <c r="A16" s="495">
        <v>13064</v>
      </c>
      <c r="B16" s="496" t="s">
        <v>1721</v>
      </c>
      <c r="C16" s="496" t="s">
        <v>153</v>
      </c>
      <c r="D16" s="496"/>
      <c r="E16" s="495">
        <v>12</v>
      </c>
      <c r="F16" s="495" t="s">
        <v>1722</v>
      </c>
      <c r="G16" s="377"/>
      <c r="H16" s="14"/>
    </row>
    <row r="17" spans="1:8" ht="13.3" thickBot="1">
      <c r="A17" s="485"/>
      <c r="B17" s="485"/>
      <c r="C17" s="485"/>
      <c r="D17" s="485"/>
      <c r="E17" s="485"/>
      <c r="F17" s="485"/>
      <c r="G17" s="377"/>
      <c r="H17" s="14"/>
    </row>
    <row r="18" spans="1:8" ht="22.75" thickBot="1">
      <c r="A18" s="492" t="s">
        <v>1708</v>
      </c>
      <c r="B18" s="494" t="s">
        <v>1709</v>
      </c>
      <c r="C18" s="493" t="s">
        <v>60</v>
      </c>
      <c r="D18" s="493">
        <v>4</v>
      </c>
      <c r="E18" s="492" t="s">
        <v>61</v>
      </c>
      <c r="F18" s="492" t="s">
        <v>1723</v>
      </c>
      <c r="G18" s="377"/>
      <c r="H18" s="14"/>
    </row>
    <row r="19" spans="1:8" ht="13.3" thickBot="1">
      <c r="A19" s="495">
        <v>26075</v>
      </c>
      <c r="B19" s="496" t="s">
        <v>1724</v>
      </c>
      <c r="C19" s="496" t="s">
        <v>202</v>
      </c>
      <c r="D19" s="496"/>
      <c r="E19" s="495">
        <v>34</v>
      </c>
      <c r="F19" s="495" t="s">
        <v>1725</v>
      </c>
      <c r="G19" s="377"/>
      <c r="H19" s="14"/>
    </row>
    <row r="20" spans="1:8" ht="12.45" thickBot="1">
      <c r="A20" s="495">
        <v>99532</v>
      </c>
      <c r="B20" s="496" t="s">
        <v>1726</v>
      </c>
      <c r="C20" s="496" t="s">
        <v>198</v>
      </c>
      <c r="D20" s="496"/>
      <c r="E20" s="495">
        <v>1</v>
      </c>
      <c r="F20" s="495" t="s">
        <v>1714</v>
      </c>
      <c r="G20" s="14"/>
      <c r="H20" s="14"/>
    </row>
    <row r="21" spans="1:8">
      <c r="A21" s="495">
        <v>21775</v>
      </c>
      <c r="B21" s="496" t="s">
        <v>1727</v>
      </c>
      <c r="C21" s="496" t="s">
        <v>198</v>
      </c>
      <c r="D21" s="496"/>
      <c r="E21" s="495">
        <v>7</v>
      </c>
      <c r="F21" s="495" t="s">
        <v>1728</v>
      </c>
      <c r="G21" s="14"/>
      <c r="H21" s="14"/>
    </row>
    <row r="22" spans="1:8" ht="12.45" thickBot="1">
      <c r="A22" s="485"/>
      <c r="B22" s="485"/>
      <c r="C22" s="485"/>
      <c r="D22" s="485"/>
      <c r="E22" s="485"/>
      <c r="F22" s="485"/>
      <c r="G22" s="14"/>
      <c r="H22" s="14"/>
    </row>
    <row r="23" spans="1:8" ht="12.45" thickBot="1">
      <c r="A23" s="492" t="s">
        <v>1708</v>
      </c>
      <c r="B23" s="494" t="s">
        <v>1709</v>
      </c>
      <c r="C23" s="493" t="s">
        <v>60</v>
      </c>
      <c r="D23" s="493">
        <v>5</v>
      </c>
      <c r="E23" s="492" t="s">
        <v>61</v>
      </c>
      <c r="F23" s="492" t="s">
        <v>1729</v>
      </c>
      <c r="G23" s="14"/>
      <c r="H23" s="14"/>
    </row>
    <row r="24" spans="1:8" ht="12.45" thickBot="1">
      <c r="A24" s="495">
        <v>22007</v>
      </c>
      <c r="B24" s="496" t="s">
        <v>1730</v>
      </c>
      <c r="C24" s="496" t="s">
        <v>501</v>
      </c>
      <c r="D24" s="496"/>
      <c r="E24" s="495">
        <v>14</v>
      </c>
      <c r="F24" s="495" t="s">
        <v>1731</v>
      </c>
      <c r="G24" s="14"/>
      <c r="H24" s="14"/>
    </row>
    <row r="25" spans="1:8" ht="12.45" thickBot="1">
      <c r="A25" s="495">
        <v>21755</v>
      </c>
      <c r="B25" s="496" t="s">
        <v>1732</v>
      </c>
      <c r="C25" s="496" t="s">
        <v>212</v>
      </c>
      <c r="D25" s="496"/>
      <c r="E25" s="495">
        <v>9</v>
      </c>
      <c r="F25" s="495" t="s">
        <v>1733</v>
      </c>
      <c r="G25" s="14"/>
      <c r="H25" s="14"/>
    </row>
    <row r="26" spans="1:8">
      <c r="A26" s="495">
        <v>27039</v>
      </c>
      <c r="B26" s="496" t="s">
        <v>1734</v>
      </c>
      <c r="C26" s="496" t="s">
        <v>1349</v>
      </c>
      <c r="D26" s="496"/>
      <c r="E26" s="495">
        <v>4</v>
      </c>
      <c r="F26" s="495" t="s">
        <v>1735</v>
      </c>
      <c r="G26" s="14"/>
      <c r="H26" s="14"/>
    </row>
    <row r="27" spans="1:8" ht="12.45" thickBot="1">
      <c r="A27" s="485"/>
      <c r="B27" s="485"/>
      <c r="C27" s="485"/>
      <c r="D27" s="485"/>
      <c r="E27" s="485"/>
      <c r="F27" s="485"/>
      <c r="G27" s="14"/>
      <c r="H27" s="14"/>
    </row>
    <row r="28" spans="1:8" ht="22.75" thickBot="1">
      <c r="A28" s="492" t="s">
        <v>1708</v>
      </c>
      <c r="B28" s="494" t="s">
        <v>1709</v>
      </c>
      <c r="C28" s="493" t="s">
        <v>60</v>
      </c>
      <c r="D28" s="493">
        <v>6</v>
      </c>
      <c r="E28" s="492" t="s">
        <v>61</v>
      </c>
      <c r="F28" s="492" t="s">
        <v>1736</v>
      </c>
      <c r="G28" s="14"/>
      <c r="H28" s="14"/>
    </row>
    <row r="29" spans="1:8" ht="12.45" thickBot="1">
      <c r="A29" s="495">
        <v>14008</v>
      </c>
      <c r="B29" s="496" t="s">
        <v>1737</v>
      </c>
      <c r="C29" s="496" t="s">
        <v>161</v>
      </c>
      <c r="D29" s="496"/>
      <c r="E29" s="495">
        <v>20</v>
      </c>
      <c r="F29" s="495" t="s">
        <v>1738</v>
      </c>
      <c r="G29" s="14"/>
      <c r="H29" s="14"/>
    </row>
    <row r="30" spans="1:8" ht="12.45" thickBot="1">
      <c r="A30" s="495">
        <v>12020</v>
      </c>
      <c r="B30" s="496" t="s">
        <v>1739</v>
      </c>
      <c r="C30" s="496" t="s">
        <v>202</v>
      </c>
      <c r="D30" s="496"/>
      <c r="E30" s="495">
        <v>8</v>
      </c>
      <c r="F30" s="495" t="s">
        <v>1740</v>
      </c>
      <c r="G30" s="14"/>
      <c r="H30" s="14"/>
    </row>
    <row r="31" spans="1:8">
      <c r="A31" s="495">
        <v>29061</v>
      </c>
      <c r="B31" s="496" t="s">
        <v>1741</v>
      </c>
      <c r="C31" s="496" t="s">
        <v>202</v>
      </c>
      <c r="D31" s="496"/>
      <c r="E31" s="495">
        <v>30</v>
      </c>
      <c r="F31" s="495" t="s">
        <v>1742</v>
      </c>
      <c r="G31" s="14"/>
      <c r="H31" s="14"/>
    </row>
    <row r="32" spans="1:8" ht="12.45" thickBot="1">
      <c r="A32" s="485"/>
      <c r="B32" s="485"/>
      <c r="C32" s="485"/>
      <c r="D32" s="485"/>
      <c r="E32" s="485"/>
      <c r="F32" s="485"/>
      <c r="G32" s="14"/>
      <c r="H32" s="14"/>
    </row>
    <row r="33" spans="1:8" ht="22.75" thickBot="1">
      <c r="A33" s="492" t="s">
        <v>1708</v>
      </c>
      <c r="B33" s="494" t="s">
        <v>1709</v>
      </c>
      <c r="C33" s="493" t="s">
        <v>60</v>
      </c>
      <c r="D33" s="493">
        <v>9</v>
      </c>
      <c r="E33" s="492" t="s">
        <v>61</v>
      </c>
      <c r="F33" s="492" t="s">
        <v>1743</v>
      </c>
      <c r="G33" s="14"/>
      <c r="H33" s="14"/>
    </row>
    <row r="34" spans="1:8" ht="12.45" thickBot="1">
      <c r="A34" s="495">
        <v>13027</v>
      </c>
      <c r="B34" s="496" t="s">
        <v>1744</v>
      </c>
      <c r="C34" s="496" t="s">
        <v>501</v>
      </c>
      <c r="D34" s="496"/>
      <c r="E34" s="495">
        <v>50</v>
      </c>
      <c r="F34" s="495" t="s">
        <v>1745</v>
      </c>
      <c r="G34" s="14"/>
      <c r="H34" s="14"/>
    </row>
    <row r="35" spans="1:8" ht="12.45" thickBot="1">
      <c r="A35" s="495">
        <v>21756</v>
      </c>
      <c r="B35" s="496" t="s">
        <v>1746</v>
      </c>
      <c r="C35" s="496" t="s">
        <v>212</v>
      </c>
      <c r="D35" s="496"/>
      <c r="E35" s="495">
        <v>46</v>
      </c>
      <c r="F35" s="495" t="s">
        <v>1747</v>
      </c>
      <c r="G35" s="14"/>
      <c r="H35" s="14"/>
    </row>
    <row r="36" spans="1:8">
      <c r="A36" s="495">
        <v>13029</v>
      </c>
      <c r="B36" s="496" t="s">
        <v>1748</v>
      </c>
      <c r="C36" s="496" t="s">
        <v>501</v>
      </c>
      <c r="D36" s="496"/>
      <c r="E36" s="495">
        <v>51</v>
      </c>
      <c r="F36" s="495" t="s">
        <v>1749</v>
      </c>
      <c r="G36" s="14"/>
      <c r="H36" s="14"/>
    </row>
    <row r="37" spans="1:8" ht="12.45" thickBot="1">
      <c r="A37" s="485"/>
      <c r="B37" s="485"/>
      <c r="C37" s="485"/>
      <c r="D37" s="485"/>
      <c r="E37" s="485"/>
      <c r="F37" s="485"/>
      <c r="G37" s="14"/>
      <c r="H37" s="14"/>
    </row>
    <row r="38" spans="1:8" ht="22.75" thickBot="1">
      <c r="A38" s="492" t="s">
        <v>1708</v>
      </c>
      <c r="B38" s="494" t="s">
        <v>1709</v>
      </c>
      <c r="C38" s="493" t="s">
        <v>60</v>
      </c>
      <c r="D38" s="493">
        <v>10</v>
      </c>
      <c r="E38" s="492" t="s">
        <v>61</v>
      </c>
      <c r="F38" s="492" t="s">
        <v>1750</v>
      </c>
      <c r="G38" s="14"/>
      <c r="H38" s="14"/>
    </row>
    <row r="39" spans="1:8" ht="12.45" thickBot="1">
      <c r="A39" s="495">
        <v>19019</v>
      </c>
      <c r="B39" s="496" t="s">
        <v>1751</v>
      </c>
      <c r="C39" s="496" t="s">
        <v>1752</v>
      </c>
      <c r="D39" s="496"/>
      <c r="E39" s="495">
        <v>33</v>
      </c>
      <c r="F39" s="495" t="s">
        <v>1753</v>
      </c>
      <c r="G39" s="14"/>
      <c r="H39" s="14"/>
    </row>
    <row r="40" spans="1:8" ht="12.45" thickBot="1">
      <c r="A40" s="495">
        <v>99555</v>
      </c>
      <c r="B40" s="496" t="s">
        <v>1754</v>
      </c>
      <c r="C40" s="496" t="s">
        <v>1752</v>
      </c>
      <c r="D40" s="496"/>
      <c r="E40" s="495">
        <v>41</v>
      </c>
      <c r="F40" s="495" t="s">
        <v>1755</v>
      </c>
      <c r="G40" s="14"/>
      <c r="H40" s="14"/>
    </row>
    <row r="41" spans="1:8">
      <c r="A41" s="495">
        <v>29040</v>
      </c>
      <c r="B41" s="496" t="s">
        <v>1756</v>
      </c>
      <c r="C41" s="496" t="s">
        <v>1752</v>
      </c>
      <c r="D41" s="496"/>
      <c r="E41" s="495">
        <v>32</v>
      </c>
      <c r="F41" s="495" t="s">
        <v>1757</v>
      </c>
      <c r="G41" s="14"/>
      <c r="H41" s="14"/>
    </row>
    <row r="42" spans="1:8" ht="12.45" thickBot="1">
      <c r="A42" s="485"/>
      <c r="B42" s="485"/>
      <c r="C42" s="485"/>
      <c r="D42" s="485"/>
      <c r="E42" s="485"/>
      <c r="F42" s="485"/>
      <c r="G42" s="14"/>
      <c r="H42" s="14"/>
    </row>
    <row r="43" spans="1:8" ht="22.75" thickBot="1">
      <c r="A43" s="492" t="s">
        <v>1708</v>
      </c>
      <c r="B43" s="494" t="s">
        <v>1709</v>
      </c>
      <c r="C43" s="493" t="s">
        <v>60</v>
      </c>
      <c r="D43" s="493">
        <v>3</v>
      </c>
      <c r="E43" s="492" t="s">
        <v>61</v>
      </c>
      <c r="F43" s="492" t="s">
        <v>1758</v>
      </c>
      <c r="G43" s="14"/>
      <c r="H43" s="14"/>
    </row>
    <row r="44" spans="1:8" ht="12.45" thickBot="1">
      <c r="A44" s="495">
        <v>15057</v>
      </c>
      <c r="B44" s="496" t="s">
        <v>1759</v>
      </c>
      <c r="C44" s="496" t="s">
        <v>153</v>
      </c>
      <c r="D44" s="496"/>
      <c r="E44" s="495">
        <v>22</v>
      </c>
      <c r="F44" s="495" t="s">
        <v>1757</v>
      </c>
      <c r="G44" s="14"/>
      <c r="H44" s="14"/>
    </row>
    <row r="45" spans="1:8" ht="12.45" thickBot="1">
      <c r="A45" s="495">
        <v>22106</v>
      </c>
      <c r="B45" s="496" t="s">
        <v>1760</v>
      </c>
      <c r="C45" s="496" t="s">
        <v>169</v>
      </c>
      <c r="D45" s="496"/>
      <c r="E45" s="495">
        <v>75</v>
      </c>
      <c r="F45" s="495" t="s">
        <v>1761</v>
      </c>
      <c r="G45" s="14"/>
      <c r="H45" s="14"/>
    </row>
    <row r="46" spans="1:8" ht="12.45" thickBot="1">
      <c r="A46" s="495">
        <v>10138</v>
      </c>
      <c r="B46" s="496" t="s">
        <v>1762</v>
      </c>
      <c r="C46" s="496" t="s">
        <v>1406</v>
      </c>
      <c r="D46" s="496"/>
      <c r="E46" s="495">
        <v>57</v>
      </c>
      <c r="F46" s="495" t="s">
        <v>1763</v>
      </c>
      <c r="G46" s="14"/>
      <c r="H46" s="14"/>
    </row>
    <row r="47" spans="1:8" ht="12.45" thickBot="1">
      <c r="A47" s="495">
        <v>16106</v>
      </c>
      <c r="B47" s="496" t="s">
        <v>1764</v>
      </c>
      <c r="C47" s="496" t="s">
        <v>1752</v>
      </c>
      <c r="D47" s="496"/>
      <c r="E47" s="495">
        <v>80</v>
      </c>
      <c r="F47" s="495" t="s">
        <v>1765</v>
      </c>
      <c r="G47" s="14"/>
      <c r="H47" s="14"/>
    </row>
    <row r="48" spans="1:8" ht="22.75" thickBot="1">
      <c r="A48" s="492" t="s">
        <v>1708</v>
      </c>
      <c r="B48" s="494" t="s">
        <v>1709</v>
      </c>
      <c r="C48" s="493" t="s">
        <v>60</v>
      </c>
      <c r="D48" s="493">
        <v>11</v>
      </c>
      <c r="E48" s="492" t="s">
        <v>61</v>
      </c>
      <c r="F48" s="492" t="s">
        <v>1766</v>
      </c>
      <c r="G48" s="14"/>
      <c r="H48" s="14"/>
    </row>
    <row r="49" spans="1:8" ht="12.45" thickBot="1">
      <c r="A49" s="495">
        <v>17067</v>
      </c>
      <c r="B49" s="496" t="s">
        <v>1767</v>
      </c>
      <c r="C49" s="496" t="s">
        <v>198</v>
      </c>
      <c r="D49" s="496"/>
      <c r="E49" s="495">
        <v>81</v>
      </c>
      <c r="F49" s="495" t="s">
        <v>1768</v>
      </c>
      <c r="G49" s="14"/>
      <c r="H49" s="14"/>
    </row>
    <row r="50" spans="1:8" ht="12.45" thickBot="1">
      <c r="A50" s="495">
        <v>14074</v>
      </c>
      <c r="B50" s="496" t="s">
        <v>1769</v>
      </c>
      <c r="C50" s="496" t="s">
        <v>202</v>
      </c>
      <c r="D50" s="496"/>
      <c r="E50" s="495">
        <v>38</v>
      </c>
      <c r="F50" s="495" t="s">
        <v>1770</v>
      </c>
      <c r="G50" s="14"/>
      <c r="H50" s="14"/>
    </row>
    <row r="51" spans="1:8">
      <c r="A51" s="495">
        <v>18124</v>
      </c>
      <c r="B51" s="496" t="s">
        <v>1771</v>
      </c>
      <c r="C51" s="496" t="s">
        <v>510</v>
      </c>
      <c r="D51" s="496"/>
      <c r="E51" s="495">
        <v>27</v>
      </c>
      <c r="F51" s="495" t="s">
        <v>1772</v>
      </c>
      <c r="G51" s="14"/>
      <c r="H51" s="14"/>
    </row>
    <row r="52" spans="1:8" ht="12.45" thickBot="1">
      <c r="A52" s="485"/>
      <c r="B52" s="485"/>
      <c r="C52" s="485"/>
      <c r="D52" s="485"/>
      <c r="E52" s="485"/>
      <c r="F52" s="485"/>
      <c r="G52" s="14"/>
      <c r="H52" s="14"/>
    </row>
    <row r="53" spans="1:8" ht="22.75" thickBot="1">
      <c r="A53" s="492" t="s">
        <v>1708</v>
      </c>
      <c r="B53" s="494" t="s">
        <v>1709</v>
      </c>
      <c r="C53" s="493" t="s">
        <v>60</v>
      </c>
      <c r="D53" s="493">
        <v>12</v>
      </c>
      <c r="E53" s="492" t="s">
        <v>61</v>
      </c>
      <c r="F53" s="492" t="s">
        <v>1773</v>
      </c>
      <c r="G53" s="14"/>
      <c r="H53" s="14"/>
    </row>
    <row r="54" spans="1:8" ht="12.45" thickBot="1">
      <c r="A54" s="495">
        <v>27030</v>
      </c>
      <c r="B54" s="496" t="s">
        <v>1774</v>
      </c>
      <c r="C54" s="496" t="s">
        <v>1775</v>
      </c>
      <c r="D54" s="496"/>
      <c r="E54" s="495">
        <v>21</v>
      </c>
      <c r="F54" s="495" t="s">
        <v>1776</v>
      </c>
      <c r="G54" s="14"/>
      <c r="H54" s="14"/>
    </row>
    <row r="55" spans="1:8" ht="12.45" thickBot="1">
      <c r="A55" s="495">
        <v>28055</v>
      </c>
      <c r="B55" s="496" t="s">
        <v>1777</v>
      </c>
      <c r="C55" s="496" t="s">
        <v>1775</v>
      </c>
      <c r="D55" s="496"/>
      <c r="E55" s="495">
        <v>94</v>
      </c>
      <c r="F55" s="495" t="s">
        <v>1778</v>
      </c>
      <c r="G55" s="14"/>
      <c r="H55" s="14"/>
    </row>
    <row r="56" spans="1:8">
      <c r="A56" s="495">
        <v>28004</v>
      </c>
      <c r="B56" s="496" t="s">
        <v>1779</v>
      </c>
      <c r="C56" s="496" t="s">
        <v>1775</v>
      </c>
      <c r="D56" s="496"/>
      <c r="E56" s="495">
        <v>25</v>
      </c>
      <c r="F56" s="495" t="s">
        <v>1780</v>
      </c>
      <c r="G56" s="14"/>
      <c r="H56" s="14"/>
    </row>
    <row r="57" spans="1:8" ht="12.45" thickBot="1">
      <c r="A57" s="485"/>
      <c r="B57" s="485"/>
      <c r="C57" s="485"/>
      <c r="D57" s="485"/>
      <c r="E57" s="485"/>
      <c r="F57" s="485"/>
      <c r="G57" s="14"/>
      <c r="H57" s="14"/>
    </row>
    <row r="58" spans="1:8" ht="22.75" thickBot="1">
      <c r="A58" s="492" t="s">
        <v>1708</v>
      </c>
      <c r="B58" s="494" t="s">
        <v>1709</v>
      </c>
      <c r="C58" s="493" t="s">
        <v>60</v>
      </c>
      <c r="D58" s="493">
        <v>7</v>
      </c>
      <c r="E58" s="492" t="s">
        <v>61</v>
      </c>
      <c r="F58" s="492" t="s">
        <v>1781</v>
      </c>
      <c r="G58" s="14"/>
      <c r="H58" s="14"/>
    </row>
    <row r="59" spans="1:8" ht="12.45" thickBot="1">
      <c r="A59" s="495">
        <v>22183</v>
      </c>
      <c r="B59" s="496" t="s">
        <v>1782</v>
      </c>
      <c r="C59" s="496" t="s">
        <v>1509</v>
      </c>
      <c r="D59" s="496"/>
      <c r="E59" s="495">
        <v>59</v>
      </c>
      <c r="F59" s="495" t="s">
        <v>1783</v>
      </c>
      <c r="G59" s="14"/>
      <c r="H59" s="14"/>
    </row>
    <row r="60" spans="1:8" ht="12.45" thickBot="1">
      <c r="A60" s="495">
        <v>22180</v>
      </c>
      <c r="B60" s="496" t="s">
        <v>1784</v>
      </c>
      <c r="C60" s="496" t="s">
        <v>196</v>
      </c>
      <c r="D60" s="496"/>
      <c r="E60" s="495">
        <v>153</v>
      </c>
      <c r="F60" s="495" t="s">
        <v>1785</v>
      </c>
      <c r="G60" s="14"/>
      <c r="H60" s="14"/>
    </row>
    <row r="61" spans="1:8" ht="12.45" thickBot="1">
      <c r="A61" s="495">
        <v>19034</v>
      </c>
      <c r="B61" s="496" t="s">
        <v>1786</v>
      </c>
      <c r="C61" s="496" t="s">
        <v>510</v>
      </c>
      <c r="D61" s="496"/>
      <c r="E61" s="495">
        <v>85</v>
      </c>
      <c r="F61" s="495" t="s">
        <v>1787</v>
      </c>
      <c r="G61" s="14"/>
      <c r="H61" s="14"/>
    </row>
    <row r="62" spans="1:8" ht="12.45" thickBot="1">
      <c r="A62" s="495">
        <v>18042</v>
      </c>
      <c r="B62" s="496" t="s">
        <v>1788</v>
      </c>
      <c r="C62" s="496" t="s">
        <v>1406</v>
      </c>
      <c r="D62" s="496"/>
      <c r="E62" s="495">
        <v>74</v>
      </c>
      <c r="F62" s="495" t="s">
        <v>1789</v>
      </c>
      <c r="G62" s="14"/>
      <c r="H62" s="14"/>
    </row>
    <row r="63" spans="1:8" ht="22.75" thickBot="1">
      <c r="A63" s="492" t="s">
        <v>1708</v>
      </c>
      <c r="B63" s="494" t="s">
        <v>1709</v>
      </c>
      <c r="C63" s="493" t="s">
        <v>60</v>
      </c>
      <c r="D63" s="493">
        <v>13</v>
      </c>
      <c r="E63" s="492" t="s">
        <v>61</v>
      </c>
      <c r="F63" s="492" t="s">
        <v>1790</v>
      </c>
      <c r="G63" s="14"/>
      <c r="H63" s="14"/>
    </row>
    <row r="64" spans="1:8" ht="12.45" thickBot="1">
      <c r="A64" s="495">
        <v>18136</v>
      </c>
      <c r="B64" s="496" t="s">
        <v>1791</v>
      </c>
      <c r="C64" s="496" t="s">
        <v>751</v>
      </c>
      <c r="D64" s="496"/>
      <c r="E64" s="495">
        <v>42</v>
      </c>
      <c r="F64" s="495" t="s">
        <v>1792</v>
      </c>
      <c r="G64" s="14"/>
      <c r="H64" s="14"/>
    </row>
    <row r="65" spans="1:8" ht="12.45" thickBot="1">
      <c r="A65" s="495">
        <v>16105</v>
      </c>
      <c r="B65" s="496" t="s">
        <v>1793</v>
      </c>
      <c r="C65" s="496" t="s">
        <v>1752</v>
      </c>
      <c r="D65" s="496"/>
      <c r="E65" s="495">
        <v>71</v>
      </c>
      <c r="F65" s="495" t="s">
        <v>1794</v>
      </c>
      <c r="G65" s="14"/>
      <c r="H65" s="14"/>
    </row>
    <row r="66" spans="1:8">
      <c r="A66" s="495">
        <v>13060</v>
      </c>
      <c r="B66" s="496" t="s">
        <v>1795</v>
      </c>
      <c r="C66" s="496" t="s">
        <v>196</v>
      </c>
      <c r="D66" s="496"/>
      <c r="E66" s="495">
        <v>63</v>
      </c>
      <c r="F66" s="495" t="s">
        <v>1796</v>
      </c>
      <c r="G66" s="14"/>
      <c r="H66" s="14"/>
    </row>
    <row r="67" spans="1:8" ht="12.45" thickBot="1">
      <c r="A67" s="485"/>
      <c r="B67" s="485"/>
      <c r="C67" s="485"/>
      <c r="D67" s="485"/>
      <c r="E67" s="485"/>
      <c r="F67" s="485"/>
      <c r="G67" s="14"/>
      <c r="H67" s="14"/>
    </row>
    <row r="68" spans="1:8" ht="22.75" thickBot="1">
      <c r="A68" s="492" t="s">
        <v>1708</v>
      </c>
      <c r="B68" s="494" t="s">
        <v>1709</v>
      </c>
      <c r="C68" s="493" t="s">
        <v>60</v>
      </c>
      <c r="D68" s="493">
        <v>14</v>
      </c>
      <c r="E68" s="492" t="s">
        <v>61</v>
      </c>
      <c r="F68" s="492" t="s">
        <v>1797</v>
      </c>
      <c r="G68" s="14"/>
      <c r="H68" s="14"/>
    </row>
    <row r="69" spans="1:8" ht="12.45" thickBot="1">
      <c r="A69" s="495">
        <v>18065</v>
      </c>
      <c r="B69" s="496" t="s">
        <v>1798</v>
      </c>
      <c r="C69" s="496" t="s">
        <v>510</v>
      </c>
      <c r="D69" s="496"/>
      <c r="E69" s="495">
        <v>68</v>
      </c>
      <c r="F69" s="495" t="s">
        <v>1799</v>
      </c>
      <c r="G69" s="14"/>
      <c r="H69" s="14"/>
    </row>
    <row r="70" spans="1:8" ht="12.45" thickBot="1">
      <c r="A70" s="495">
        <v>22181</v>
      </c>
      <c r="B70" s="496" t="s">
        <v>1800</v>
      </c>
      <c r="C70" s="496" t="s">
        <v>1509</v>
      </c>
      <c r="D70" s="496"/>
      <c r="E70" s="495">
        <v>48</v>
      </c>
      <c r="F70" s="495" t="s">
        <v>1801</v>
      </c>
      <c r="G70" s="14"/>
      <c r="H70" s="14"/>
    </row>
    <row r="71" spans="1:8">
      <c r="A71" s="495">
        <v>15001</v>
      </c>
      <c r="B71" s="496" t="s">
        <v>1802</v>
      </c>
      <c r="C71" s="496" t="s">
        <v>161</v>
      </c>
      <c r="D71" s="496"/>
      <c r="E71" s="495">
        <v>79</v>
      </c>
      <c r="F71" s="495" t="s">
        <v>1803</v>
      </c>
      <c r="G71" s="14"/>
      <c r="H71" s="14"/>
    </row>
    <row r="72" spans="1:8" ht="12.45" thickBot="1">
      <c r="A72" s="485"/>
      <c r="B72" s="485"/>
      <c r="C72" s="485"/>
      <c r="D72" s="485"/>
      <c r="E72" s="485"/>
      <c r="F72" s="485"/>
      <c r="G72" s="14"/>
      <c r="H72" s="14"/>
    </row>
    <row r="73" spans="1:8" ht="22.75" thickBot="1">
      <c r="A73" s="492" t="s">
        <v>1708</v>
      </c>
      <c r="B73" s="494" t="s">
        <v>1709</v>
      </c>
      <c r="C73" s="493" t="s">
        <v>60</v>
      </c>
      <c r="D73" s="493">
        <v>15</v>
      </c>
      <c r="E73" s="492" t="s">
        <v>61</v>
      </c>
      <c r="F73" s="492" t="s">
        <v>1804</v>
      </c>
      <c r="G73" s="14"/>
      <c r="H73" s="14"/>
    </row>
    <row r="74" spans="1:8" ht="12.45" thickBot="1">
      <c r="A74" s="495">
        <v>22105</v>
      </c>
      <c r="B74" s="496" t="s">
        <v>1805</v>
      </c>
      <c r="C74" s="496" t="s">
        <v>1406</v>
      </c>
      <c r="D74" s="496"/>
      <c r="E74" s="495">
        <v>56</v>
      </c>
      <c r="F74" s="495" t="s">
        <v>1806</v>
      </c>
      <c r="G74" s="14"/>
      <c r="H74" s="14"/>
    </row>
    <row r="75" spans="1:8" ht="12.45" thickBot="1">
      <c r="A75" s="495">
        <v>20676</v>
      </c>
      <c r="B75" s="496" t="s">
        <v>1807</v>
      </c>
      <c r="C75" s="496" t="s">
        <v>1406</v>
      </c>
      <c r="D75" s="496"/>
      <c r="E75" s="495">
        <v>116</v>
      </c>
      <c r="F75" s="495" t="s">
        <v>1808</v>
      </c>
      <c r="G75" s="14"/>
      <c r="H75" s="14"/>
    </row>
    <row r="76" spans="1:8" ht="12.45" thickBot="1">
      <c r="A76" s="495">
        <v>20505</v>
      </c>
      <c r="B76" s="496" t="s">
        <v>1809</v>
      </c>
      <c r="C76" s="496" t="s">
        <v>202</v>
      </c>
      <c r="D76" s="496"/>
      <c r="E76" s="495">
        <v>53</v>
      </c>
      <c r="F76" s="495" t="s">
        <v>1810</v>
      </c>
      <c r="G76" s="14"/>
      <c r="H76" s="14"/>
    </row>
    <row r="77" spans="1:8" ht="12.45" thickBot="1">
      <c r="A77" s="495"/>
      <c r="B77" s="496" t="s">
        <v>1811</v>
      </c>
      <c r="C77" s="496"/>
      <c r="D77" s="496" t="s">
        <v>1812</v>
      </c>
      <c r="E77" s="495"/>
      <c r="F77" s="495">
        <v>0</v>
      </c>
      <c r="G77" s="14"/>
      <c r="H77" s="14"/>
    </row>
    <row r="78" spans="1:8" ht="22.75" thickBot="1">
      <c r="A78" s="492" t="s">
        <v>1708</v>
      </c>
      <c r="B78" s="494" t="s">
        <v>1709</v>
      </c>
      <c r="C78" s="493" t="s">
        <v>60</v>
      </c>
      <c r="D78" s="493">
        <v>8</v>
      </c>
      <c r="E78" s="492" t="s">
        <v>61</v>
      </c>
      <c r="F78" s="492" t="s">
        <v>1813</v>
      </c>
      <c r="G78" s="14"/>
      <c r="H78" s="14"/>
    </row>
    <row r="79" spans="1:8" ht="12.45" thickBot="1">
      <c r="A79" s="495">
        <v>96059</v>
      </c>
      <c r="B79" s="496" t="s">
        <v>1814</v>
      </c>
      <c r="C79" s="496" t="s">
        <v>153</v>
      </c>
      <c r="D79" s="496"/>
      <c r="E79" s="495">
        <v>77</v>
      </c>
      <c r="F79" s="495" t="s">
        <v>1815</v>
      </c>
      <c r="G79" s="14"/>
      <c r="H79" s="14"/>
    </row>
    <row r="80" spans="1:8" ht="12.45" thickBot="1">
      <c r="A80" s="495">
        <v>25017</v>
      </c>
      <c r="B80" s="496" t="s">
        <v>1816</v>
      </c>
      <c r="C80" s="496" t="s">
        <v>501</v>
      </c>
      <c r="D80" s="496"/>
      <c r="E80" s="495">
        <v>49</v>
      </c>
      <c r="F80" s="495" t="s">
        <v>1817</v>
      </c>
      <c r="G80" s="14"/>
      <c r="H80" s="14"/>
    </row>
    <row r="81" spans="1:8" ht="12.45" thickBot="1">
      <c r="A81" s="495">
        <v>29039</v>
      </c>
      <c r="B81" s="496" t="s">
        <v>1818</v>
      </c>
      <c r="C81" s="496" t="s">
        <v>1752</v>
      </c>
      <c r="D81" s="496"/>
      <c r="E81" s="495">
        <v>66</v>
      </c>
      <c r="F81" s="495" t="s">
        <v>1819</v>
      </c>
      <c r="G81" s="14"/>
      <c r="H81" s="14"/>
    </row>
    <row r="82" spans="1:8" ht="12.45" thickBot="1">
      <c r="A82" s="495">
        <v>12017</v>
      </c>
      <c r="B82" s="496" t="s">
        <v>1820</v>
      </c>
      <c r="C82" s="496" t="s">
        <v>501</v>
      </c>
      <c r="D82" s="496"/>
      <c r="E82" s="495">
        <v>45</v>
      </c>
      <c r="F82" s="495" t="s">
        <v>1821</v>
      </c>
      <c r="G82" s="14"/>
      <c r="H82" s="14"/>
    </row>
    <row r="83" spans="1:8" ht="22.75" thickBot="1">
      <c r="A83" s="492" t="s">
        <v>1708</v>
      </c>
      <c r="B83" s="494" t="s">
        <v>1709</v>
      </c>
      <c r="C83" s="493" t="s">
        <v>60</v>
      </c>
      <c r="D83" s="493">
        <v>16</v>
      </c>
      <c r="E83" s="492" t="s">
        <v>61</v>
      </c>
      <c r="F83" s="492" t="s">
        <v>1822</v>
      </c>
      <c r="G83" s="14"/>
      <c r="H83" s="14"/>
    </row>
    <row r="84" spans="1:8" ht="12.45" thickBot="1">
      <c r="A84" s="495">
        <v>13005</v>
      </c>
      <c r="B84" s="496" t="s">
        <v>1823</v>
      </c>
      <c r="C84" s="496" t="s">
        <v>630</v>
      </c>
      <c r="D84" s="496"/>
      <c r="E84" s="495">
        <v>89</v>
      </c>
      <c r="F84" s="495" t="s">
        <v>1824</v>
      </c>
      <c r="G84" s="14"/>
      <c r="H84" s="14"/>
    </row>
    <row r="85" spans="1:8" ht="12.45" thickBot="1">
      <c r="A85" s="495">
        <v>21049</v>
      </c>
      <c r="B85" s="496" t="s">
        <v>1825</v>
      </c>
      <c r="C85" s="496" t="s">
        <v>169</v>
      </c>
      <c r="D85" s="496"/>
      <c r="E85" s="495">
        <v>121</v>
      </c>
      <c r="F85" s="495" t="s">
        <v>1826</v>
      </c>
      <c r="G85" s="14"/>
      <c r="H85" s="14"/>
    </row>
    <row r="86" spans="1:8">
      <c r="A86" s="495">
        <v>18132</v>
      </c>
      <c r="B86" s="496" t="s">
        <v>1827</v>
      </c>
      <c r="C86" s="496" t="s">
        <v>510</v>
      </c>
      <c r="D86" s="496"/>
      <c r="E86" s="495">
        <v>64</v>
      </c>
      <c r="F86" s="495" t="s">
        <v>1828</v>
      </c>
      <c r="G86" s="14"/>
      <c r="H86" s="14"/>
    </row>
    <row r="87" spans="1:8" ht="12.45" thickBot="1">
      <c r="A87" s="485"/>
      <c r="B87" s="485"/>
      <c r="C87" s="485"/>
      <c r="D87" s="485"/>
      <c r="E87" s="485"/>
      <c r="F87" s="485"/>
      <c r="G87" s="14"/>
      <c r="H87" s="14"/>
    </row>
    <row r="88" spans="1:8" ht="22.75" thickBot="1">
      <c r="A88" s="492" t="s">
        <v>1708</v>
      </c>
      <c r="B88" s="494" t="s">
        <v>1709</v>
      </c>
      <c r="C88" s="493" t="s">
        <v>60</v>
      </c>
      <c r="D88" s="493">
        <v>17</v>
      </c>
      <c r="E88" s="492" t="s">
        <v>61</v>
      </c>
      <c r="F88" s="492" t="s">
        <v>1829</v>
      </c>
      <c r="G88" s="14"/>
      <c r="H88" s="14"/>
    </row>
    <row r="89" spans="1:8" ht="12.45" thickBot="1">
      <c r="A89" s="495">
        <v>99574</v>
      </c>
      <c r="B89" s="496" t="s">
        <v>1830</v>
      </c>
      <c r="C89" s="496" t="s">
        <v>678</v>
      </c>
      <c r="D89" s="496"/>
      <c r="E89" s="495">
        <v>18</v>
      </c>
      <c r="F89" s="495" t="s">
        <v>1831</v>
      </c>
      <c r="G89" s="14"/>
      <c r="H89" s="14"/>
    </row>
    <row r="90" spans="1:8" ht="12.45" thickBot="1">
      <c r="A90" s="495">
        <v>26043</v>
      </c>
      <c r="B90" s="496" t="s">
        <v>1832</v>
      </c>
      <c r="C90" s="496" t="s">
        <v>768</v>
      </c>
      <c r="D90" s="496"/>
      <c r="E90" s="495">
        <v>102</v>
      </c>
      <c r="F90" s="495" t="s">
        <v>1833</v>
      </c>
      <c r="G90" s="14"/>
      <c r="H90" s="14"/>
    </row>
    <row r="91" spans="1:8">
      <c r="A91" s="495">
        <v>16020</v>
      </c>
      <c r="B91" s="496" t="s">
        <v>1834</v>
      </c>
      <c r="C91" s="496" t="s">
        <v>768</v>
      </c>
      <c r="D91" s="496"/>
      <c r="E91" s="495">
        <v>167</v>
      </c>
      <c r="F91" s="495" t="s">
        <v>1835</v>
      </c>
      <c r="G91" s="14"/>
      <c r="H91" s="14"/>
    </row>
    <row r="92" spans="1:8" ht="12.45" thickBot="1">
      <c r="A92" s="485"/>
      <c r="B92" s="485"/>
      <c r="C92" s="485"/>
      <c r="D92" s="485"/>
      <c r="E92" s="485"/>
      <c r="F92" s="485"/>
      <c r="G92" s="14"/>
      <c r="H92" s="14"/>
    </row>
    <row r="93" spans="1:8" ht="22.75" thickBot="1">
      <c r="A93" s="492" t="s">
        <v>1708</v>
      </c>
      <c r="B93" s="494" t="s">
        <v>1709</v>
      </c>
      <c r="C93" s="493" t="s">
        <v>60</v>
      </c>
      <c r="D93" s="493">
        <v>18</v>
      </c>
      <c r="E93" s="492" t="s">
        <v>61</v>
      </c>
      <c r="F93" s="492" t="s">
        <v>1836</v>
      </c>
      <c r="G93" s="14"/>
      <c r="H93" s="14"/>
    </row>
    <row r="94" spans="1:8" ht="12.45" thickBot="1">
      <c r="A94" s="495">
        <v>26011</v>
      </c>
      <c r="B94" s="496" t="s">
        <v>1837</v>
      </c>
      <c r="C94" s="496" t="s">
        <v>153</v>
      </c>
      <c r="D94" s="496"/>
      <c r="E94" s="495">
        <v>29</v>
      </c>
      <c r="F94" s="495" t="s">
        <v>1757</v>
      </c>
      <c r="G94" s="14"/>
      <c r="H94" s="14"/>
    </row>
    <row r="95" spans="1:8" ht="12.45" thickBot="1">
      <c r="A95" s="495">
        <v>22100</v>
      </c>
      <c r="B95" s="496" t="s">
        <v>1838</v>
      </c>
      <c r="C95" s="496" t="s">
        <v>153</v>
      </c>
      <c r="D95" s="496"/>
      <c r="E95" s="495">
        <v>23</v>
      </c>
      <c r="F95" s="495" t="s">
        <v>1839</v>
      </c>
      <c r="G95" s="14"/>
      <c r="H95" s="14"/>
    </row>
    <row r="96" spans="1:8">
      <c r="A96" s="495">
        <v>17033</v>
      </c>
      <c r="B96" s="496" t="s">
        <v>1840</v>
      </c>
      <c r="C96" s="496" t="s">
        <v>153</v>
      </c>
      <c r="D96" s="496"/>
      <c r="E96" s="495">
        <v>324</v>
      </c>
      <c r="F96" s="495" t="s">
        <v>1841</v>
      </c>
      <c r="G96" s="14"/>
      <c r="H96" s="14"/>
    </row>
    <row r="97" spans="1:8" ht="12.45" thickBot="1">
      <c r="A97" s="485"/>
      <c r="B97" s="485"/>
      <c r="C97" s="485"/>
      <c r="D97" s="485"/>
      <c r="E97" s="485"/>
      <c r="F97" s="485"/>
      <c r="G97" s="14"/>
      <c r="H97" s="14"/>
    </row>
    <row r="98" spans="1:8" ht="22.75" thickBot="1">
      <c r="A98" s="492" t="s">
        <v>1708</v>
      </c>
      <c r="B98" s="494" t="s">
        <v>1709</v>
      </c>
      <c r="C98" s="493" t="s">
        <v>60</v>
      </c>
      <c r="D98" s="493">
        <v>19</v>
      </c>
      <c r="E98" s="492" t="s">
        <v>61</v>
      </c>
      <c r="F98" s="492" t="s">
        <v>1842</v>
      </c>
      <c r="G98" s="14"/>
      <c r="H98" s="14"/>
    </row>
    <row r="99" spans="1:8" ht="12.45" thickBot="1">
      <c r="A99" s="495">
        <v>25054</v>
      </c>
      <c r="B99" s="496" t="s">
        <v>1843</v>
      </c>
      <c r="C99" s="496" t="s">
        <v>1775</v>
      </c>
      <c r="D99" s="496"/>
      <c r="E99" s="495">
        <v>100</v>
      </c>
      <c r="F99" s="495" t="s">
        <v>1844</v>
      </c>
      <c r="G99" s="14"/>
      <c r="H99" s="14"/>
    </row>
    <row r="100" spans="1:8" ht="12.45" thickBot="1">
      <c r="A100" s="495">
        <v>25055</v>
      </c>
      <c r="B100" s="496" t="s">
        <v>1845</v>
      </c>
      <c r="C100" s="496" t="s">
        <v>1775</v>
      </c>
      <c r="D100" s="496"/>
      <c r="E100" s="495">
        <v>24</v>
      </c>
      <c r="F100" s="495" t="s">
        <v>1846</v>
      </c>
      <c r="G100" s="14"/>
      <c r="H100" s="14"/>
    </row>
    <row r="101" spans="1:8">
      <c r="A101" s="495">
        <v>16107</v>
      </c>
      <c r="B101" s="496" t="s">
        <v>1847</v>
      </c>
      <c r="C101" s="496" t="s">
        <v>1752</v>
      </c>
      <c r="D101" s="496"/>
      <c r="E101" s="495">
        <v>105</v>
      </c>
      <c r="F101" s="495" t="s">
        <v>1848</v>
      </c>
      <c r="G101" s="14"/>
      <c r="H101" s="14"/>
    </row>
    <row r="102" spans="1:8" ht="12.45" thickBot="1">
      <c r="A102" s="485"/>
      <c r="B102" s="485"/>
      <c r="C102" s="485"/>
      <c r="D102" s="485"/>
      <c r="E102" s="485"/>
      <c r="F102" s="485"/>
      <c r="G102" s="14"/>
      <c r="H102" s="14"/>
    </row>
    <row r="103" spans="1:8" ht="22.75" thickBot="1">
      <c r="A103" s="492" t="s">
        <v>1708</v>
      </c>
      <c r="B103" s="494" t="s">
        <v>1709</v>
      </c>
      <c r="C103" s="493" t="s">
        <v>60</v>
      </c>
      <c r="D103" s="493">
        <v>20</v>
      </c>
      <c r="E103" s="492" t="s">
        <v>61</v>
      </c>
      <c r="F103" s="492" t="s">
        <v>1849</v>
      </c>
      <c r="G103" s="14"/>
      <c r="H103" s="14"/>
    </row>
    <row r="104" spans="1:8" ht="12.45" thickBot="1">
      <c r="A104" s="495">
        <v>23236</v>
      </c>
      <c r="B104" s="496" t="s">
        <v>1850</v>
      </c>
      <c r="C104" s="496" t="s">
        <v>198</v>
      </c>
      <c r="D104" s="496"/>
      <c r="E104" s="495">
        <v>149</v>
      </c>
      <c r="F104" s="495" t="s">
        <v>1851</v>
      </c>
      <c r="G104" s="14"/>
      <c r="H104" s="14"/>
    </row>
    <row r="105" spans="1:8" ht="12.45" thickBot="1">
      <c r="A105" s="495">
        <v>20504</v>
      </c>
      <c r="B105" s="496" t="s">
        <v>1852</v>
      </c>
      <c r="C105" s="496" t="s">
        <v>198</v>
      </c>
      <c r="D105" s="496"/>
      <c r="E105" s="495">
        <v>36</v>
      </c>
      <c r="F105" s="495" t="s">
        <v>1853</v>
      </c>
      <c r="G105" s="14"/>
      <c r="H105" s="14"/>
    </row>
    <row r="106" spans="1:8">
      <c r="A106" s="495">
        <v>20617</v>
      </c>
      <c r="B106" s="496" t="s">
        <v>1854</v>
      </c>
      <c r="C106" s="496" t="s">
        <v>198</v>
      </c>
      <c r="D106" s="496"/>
      <c r="E106" s="495">
        <v>16</v>
      </c>
      <c r="F106" s="495" t="s">
        <v>1855</v>
      </c>
      <c r="G106" s="14"/>
      <c r="H106" s="14"/>
    </row>
    <row r="107" spans="1:8" ht="12.45" thickBot="1">
      <c r="A107" s="485"/>
      <c r="B107" s="485"/>
      <c r="C107" s="485"/>
      <c r="D107" s="485"/>
      <c r="E107" s="485"/>
      <c r="F107" s="485"/>
      <c r="G107" s="14"/>
      <c r="H107" s="14"/>
    </row>
    <row r="108" spans="1:8" ht="22.75" thickBot="1">
      <c r="A108" s="492" t="s">
        <v>1708</v>
      </c>
      <c r="B108" s="494" t="s">
        <v>1709</v>
      </c>
      <c r="C108" s="493" t="s">
        <v>60</v>
      </c>
      <c r="D108" s="493">
        <v>21</v>
      </c>
      <c r="E108" s="492" t="s">
        <v>61</v>
      </c>
      <c r="F108" s="492" t="s">
        <v>1856</v>
      </c>
      <c r="G108" s="14"/>
      <c r="H108" s="14"/>
    </row>
    <row r="109" spans="1:8" ht="12.45" thickBot="1">
      <c r="A109" s="495">
        <v>22017</v>
      </c>
      <c r="B109" s="496" t="s">
        <v>1857</v>
      </c>
      <c r="C109" s="496" t="s">
        <v>198</v>
      </c>
      <c r="D109" s="496"/>
      <c r="E109" s="495">
        <v>207</v>
      </c>
      <c r="F109" s="495" t="s">
        <v>1858</v>
      </c>
      <c r="G109" s="14"/>
      <c r="H109" s="14"/>
    </row>
    <row r="110" spans="1:8" ht="12.45" thickBot="1">
      <c r="A110" s="495">
        <v>21050</v>
      </c>
      <c r="B110" s="496" t="s">
        <v>1859</v>
      </c>
      <c r="C110" s="496" t="s">
        <v>169</v>
      </c>
      <c r="D110" s="496"/>
      <c r="E110" s="495">
        <v>78</v>
      </c>
      <c r="F110" s="495" t="s">
        <v>1860</v>
      </c>
      <c r="G110" s="14"/>
      <c r="H110" s="14"/>
    </row>
    <row r="111" spans="1:8">
      <c r="A111" s="495">
        <v>11011</v>
      </c>
      <c r="B111" s="496" t="s">
        <v>1861</v>
      </c>
      <c r="C111" s="496" t="s">
        <v>1752</v>
      </c>
      <c r="D111" s="496"/>
      <c r="E111" s="495">
        <v>65</v>
      </c>
      <c r="F111" s="495" t="s">
        <v>1757</v>
      </c>
      <c r="G111" s="14"/>
      <c r="H111" s="14"/>
    </row>
    <row r="112" spans="1:8" ht="12.45" thickBot="1">
      <c r="A112" s="485"/>
      <c r="B112" s="485"/>
      <c r="C112" s="485"/>
      <c r="D112" s="485"/>
      <c r="E112" s="485"/>
      <c r="F112" s="485"/>
      <c r="G112" s="14"/>
      <c r="H112" s="14"/>
    </row>
    <row r="113" spans="1:8" ht="22.75" thickBot="1">
      <c r="A113" s="492" t="s">
        <v>1708</v>
      </c>
      <c r="B113" s="494" t="s">
        <v>1709</v>
      </c>
      <c r="C113" s="493" t="s">
        <v>60</v>
      </c>
      <c r="D113" s="493">
        <v>22</v>
      </c>
      <c r="E113" s="492" t="s">
        <v>61</v>
      </c>
      <c r="F113" s="492" t="s">
        <v>1862</v>
      </c>
      <c r="G113" s="14"/>
      <c r="H113" s="14"/>
    </row>
    <row r="114" spans="1:8" ht="12.45" thickBot="1">
      <c r="A114" s="495">
        <v>21021</v>
      </c>
      <c r="B114" s="496" t="s">
        <v>1863</v>
      </c>
      <c r="C114" s="496" t="s">
        <v>678</v>
      </c>
      <c r="D114" s="496"/>
      <c r="E114" s="495">
        <v>118</v>
      </c>
      <c r="F114" s="495" t="s">
        <v>1864</v>
      </c>
      <c r="G114" s="14"/>
      <c r="H114" s="14"/>
    </row>
    <row r="115" spans="1:8" ht="12.45" thickBot="1">
      <c r="A115" s="495">
        <v>14079</v>
      </c>
      <c r="B115" s="496" t="s">
        <v>1865</v>
      </c>
      <c r="C115" s="496" t="s">
        <v>1866</v>
      </c>
      <c r="D115" s="496"/>
      <c r="E115" s="495">
        <v>97</v>
      </c>
      <c r="F115" s="495" t="s">
        <v>1867</v>
      </c>
      <c r="G115" s="14"/>
      <c r="H115" s="14"/>
    </row>
    <row r="116" spans="1:8">
      <c r="A116" s="495">
        <v>98446</v>
      </c>
      <c r="B116" s="496" t="s">
        <v>1868</v>
      </c>
      <c r="C116" s="496" t="s">
        <v>202</v>
      </c>
      <c r="D116" s="496"/>
      <c r="E116" s="495">
        <v>117</v>
      </c>
      <c r="F116" s="495" t="s">
        <v>1869</v>
      </c>
      <c r="G116" s="14"/>
      <c r="H116" s="14"/>
    </row>
    <row r="117" spans="1:8" ht="12.45" thickBot="1">
      <c r="A117" s="485"/>
      <c r="B117" s="485"/>
      <c r="C117" s="485"/>
      <c r="D117" s="485"/>
      <c r="E117" s="485"/>
      <c r="F117" s="485"/>
      <c r="G117" s="14"/>
      <c r="H117" s="14"/>
    </row>
    <row r="118" spans="1:8" ht="22.75" thickBot="1">
      <c r="A118" s="492" t="s">
        <v>1708</v>
      </c>
      <c r="B118" s="494" t="s">
        <v>1709</v>
      </c>
      <c r="C118" s="493" t="s">
        <v>60</v>
      </c>
      <c r="D118" s="493">
        <v>23</v>
      </c>
      <c r="E118" s="492" t="s">
        <v>61</v>
      </c>
      <c r="F118" s="492" t="s">
        <v>1870</v>
      </c>
      <c r="G118" s="14"/>
      <c r="H118" s="14"/>
    </row>
    <row r="119" spans="1:8" ht="12.45" thickBot="1">
      <c r="A119" s="495">
        <v>11001</v>
      </c>
      <c r="B119" s="496" t="s">
        <v>1871</v>
      </c>
      <c r="C119" s="496" t="s">
        <v>963</v>
      </c>
      <c r="D119" s="496"/>
      <c r="E119" s="495">
        <v>28</v>
      </c>
      <c r="F119" s="495" t="s">
        <v>1757</v>
      </c>
      <c r="G119" s="14"/>
      <c r="H119" s="14"/>
    </row>
    <row r="120" spans="1:8" ht="12.45" thickBot="1">
      <c r="A120" s="495">
        <v>11002</v>
      </c>
      <c r="B120" s="496" t="s">
        <v>1872</v>
      </c>
      <c r="C120" s="496" t="s">
        <v>963</v>
      </c>
      <c r="D120" s="496"/>
      <c r="E120" s="495">
        <v>70</v>
      </c>
      <c r="F120" s="495" t="s">
        <v>1873</v>
      </c>
      <c r="G120" s="14"/>
      <c r="H120" s="14"/>
    </row>
    <row r="121" spans="1:8">
      <c r="A121" s="495">
        <v>10048</v>
      </c>
      <c r="B121" s="496" t="s">
        <v>1874</v>
      </c>
      <c r="C121" s="496" t="s">
        <v>504</v>
      </c>
      <c r="D121" s="496"/>
      <c r="E121" s="495">
        <v>76</v>
      </c>
      <c r="F121" s="495" t="s">
        <v>1875</v>
      </c>
      <c r="G121" s="14"/>
      <c r="H121" s="14"/>
    </row>
    <row r="122" spans="1:8" ht="12.45" thickBot="1">
      <c r="A122" s="485"/>
      <c r="B122" s="485"/>
      <c r="C122" s="485"/>
      <c r="D122" s="485"/>
      <c r="E122" s="485"/>
      <c r="F122" s="485"/>
      <c r="G122" s="14"/>
      <c r="H122" s="14"/>
    </row>
    <row r="123" spans="1:8" ht="22.75" thickBot="1">
      <c r="A123" s="492" t="s">
        <v>1708</v>
      </c>
      <c r="B123" s="494" t="s">
        <v>1709</v>
      </c>
      <c r="C123" s="493" t="s">
        <v>60</v>
      </c>
      <c r="D123" s="493">
        <v>24</v>
      </c>
      <c r="E123" s="492" t="s">
        <v>61</v>
      </c>
      <c r="F123" s="492" t="s">
        <v>1876</v>
      </c>
      <c r="G123" s="14"/>
      <c r="H123" s="14"/>
    </row>
    <row r="124" spans="1:8" ht="12.45" thickBot="1">
      <c r="A124" s="495">
        <v>18109</v>
      </c>
      <c r="B124" s="496" t="s">
        <v>1877</v>
      </c>
      <c r="C124" s="496" t="s">
        <v>782</v>
      </c>
      <c r="D124" s="496"/>
      <c r="E124" s="495">
        <v>60</v>
      </c>
      <c r="F124" s="495" t="s">
        <v>1770</v>
      </c>
      <c r="G124" s="14"/>
      <c r="H124" s="14"/>
    </row>
    <row r="125" spans="1:8" ht="12.45" thickBot="1">
      <c r="A125" s="495">
        <v>16124</v>
      </c>
      <c r="B125" s="496" t="s">
        <v>1878</v>
      </c>
      <c r="C125" s="496" t="s">
        <v>782</v>
      </c>
      <c r="D125" s="496"/>
      <c r="E125" s="495">
        <v>143</v>
      </c>
      <c r="F125" s="495" t="s">
        <v>1879</v>
      </c>
      <c r="G125" s="14"/>
      <c r="H125" s="14"/>
    </row>
    <row r="126" spans="1:8">
      <c r="A126" s="495">
        <v>15065</v>
      </c>
      <c r="B126" s="496" t="s">
        <v>1880</v>
      </c>
      <c r="C126" s="496" t="s">
        <v>242</v>
      </c>
      <c r="D126" s="496"/>
      <c r="E126" s="495">
        <v>44</v>
      </c>
      <c r="F126" s="495" t="s">
        <v>1881</v>
      </c>
      <c r="G126" s="14"/>
      <c r="H126" s="14"/>
    </row>
    <row r="127" spans="1:8" ht="12.45" thickBot="1">
      <c r="A127" s="485"/>
      <c r="B127" s="485"/>
      <c r="C127" s="485"/>
      <c r="D127" s="485"/>
      <c r="E127" s="485"/>
      <c r="F127" s="485"/>
      <c r="G127" s="14"/>
      <c r="H127" s="14"/>
    </row>
    <row r="128" spans="1:8" ht="22.75" thickBot="1">
      <c r="A128" s="492" t="s">
        <v>1708</v>
      </c>
      <c r="B128" s="494" t="s">
        <v>1709</v>
      </c>
      <c r="C128" s="493" t="s">
        <v>60</v>
      </c>
      <c r="D128" s="493">
        <v>25</v>
      </c>
      <c r="E128" s="492" t="s">
        <v>61</v>
      </c>
      <c r="F128" s="492" t="s">
        <v>1882</v>
      </c>
      <c r="G128" s="14"/>
      <c r="H128" s="14"/>
    </row>
    <row r="129" spans="1:8" ht="12.45" thickBot="1">
      <c r="A129" s="495">
        <v>16133</v>
      </c>
      <c r="B129" s="496" t="s">
        <v>1883</v>
      </c>
      <c r="C129" s="496" t="s">
        <v>175</v>
      </c>
      <c r="D129" s="496"/>
      <c r="E129" s="495">
        <v>108</v>
      </c>
      <c r="F129" s="495" t="s">
        <v>1884</v>
      </c>
      <c r="G129" s="14"/>
      <c r="H129" s="14"/>
    </row>
    <row r="130" spans="1:8" ht="12.45" thickBot="1">
      <c r="A130" s="495">
        <v>18099</v>
      </c>
      <c r="B130" s="496" t="s">
        <v>1885</v>
      </c>
      <c r="C130" s="496" t="s">
        <v>175</v>
      </c>
      <c r="D130" s="496"/>
      <c r="E130" s="495">
        <v>114</v>
      </c>
      <c r="F130" s="495" t="s">
        <v>1886</v>
      </c>
      <c r="G130" s="14"/>
      <c r="H130" s="14"/>
    </row>
    <row r="131" spans="1:8">
      <c r="A131" s="495">
        <v>21072</v>
      </c>
      <c r="B131" s="496" t="s">
        <v>1887</v>
      </c>
      <c r="C131" s="496" t="s">
        <v>175</v>
      </c>
      <c r="D131" s="496"/>
      <c r="E131" s="495">
        <v>154</v>
      </c>
      <c r="F131" s="495" t="s">
        <v>1888</v>
      </c>
      <c r="G131" s="14"/>
      <c r="H131" s="14"/>
    </row>
    <row r="132" spans="1:8" ht="12.45" thickBot="1">
      <c r="A132" s="485"/>
      <c r="B132" s="485"/>
      <c r="C132" s="485"/>
      <c r="D132" s="485"/>
      <c r="E132" s="485"/>
      <c r="F132" s="485"/>
      <c r="G132" s="14"/>
      <c r="H132" s="14"/>
    </row>
    <row r="133" spans="1:8" ht="12.45" thickBot="1">
      <c r="A133" s="492" t="s">
        <v>1708</v>
      </c>
      <c r="B133" s="494" t="s">
        <v>1709</v>
      </c>
      <c r="C133" s="493" t="s">
        <v>60</v>
      </c>
      <c r="D133" s="493">
        <v>26</v>
      </c>
      <c r="E133" s="492" t="s">
        <v>61</v>
      </c>
      <c r="F133" s="492" t="s">
        <v>1889</v>
      </c>
      <c r="G133" s="14"/>
      <c r="H133" s="14"/>
    </row>
    <row r="134" spans="1:8" ht="12.45" thickBot="1">
      <c r="A134" s="495">
        <v>21912</v>
      </c>
      <c r="B134" s="496" t="s">
        <v>1890</v>
      </c>
      <c r="C134" s="496" t="s">
        <v>778</v>
      </c>
      <c r="D134" s="496"/>
      <c r="E134" s="495">
        <v>13</v>
      </c>
      <c r="F134" s="495" t="s">
        <v>1891</v>
      </c>
      <c r="G134" s="14"/>
      <c r="H134" s="14"/>
    </row>
    <row r="135" spans="1:8" ht="12.45" thickBot="1">
      <c r="A135" s="495">
        <v>24310</v>
      </c>
      <c r="B135" s="496" t="s">
        <v>1892</v>
      </c>
      <c r="C135" s="496" t="s">
        <v>196</v>
      </c>
      <c r="D135" s="496"/>
      <c r="E135" s="495">
        <v>87</v>
      </c>
      <c r="F135" s="495" t="s">
        <v>1893</v>
      </c>
      <c r="G135" s="14"/>
      <c r="H135" s="14"/>
    </row>
    <row r="136" spans="1:8">
      <c r="A136" s="495">
        <v>22991</v>
      </c>
      <c r="B136" s="496" t="s">
        <v>1894</v>
      </c>
      <c r="C136" s="496" t="s">
        <v>778</v>
      </c>
      <c r="D136" s="496"/>
      <c r="E136" s="495">
        <v>148</v>
      </c>
      <c r="F136" s="495" t="s">
        <v>1895</v>
      </c>
      <c r="G136" s="14"/>
      <c r="H136" s="14"/>
    </row>
    <row r="137" spans="1:8" ht="12.45" thickBot="1">
      <c r="A137" s="485"/>
      <c r="B137" s="485"/>
      <c r="C137" s="485"/>
      <c r="D137" s="485"/>
      <c r="E137" s="485"/>
      <c r="F137" s="485"/>
      <c r="G137" s="14"/>
      <c r="H137" s="14"/>
    </row>
    <row r="138" spans="1:8" ht="22.75" thickBot="1">
      <c r="A138" s="492" t="s">
        <v>1708</v>
      </c>
      <c r="B138" s="494" t="s">
        <v>1709</v>
      </c>
      <c r="C138" s="493" t="s">
        <v>60</v>
      </c>
      <c r="D138" s="493">
        <v>27</v>
      </c>
      <c r="E138" s="492" t="s">
        <v>61</v>
      </c>
      <c r="F138" s="492" t="s">
        <v>1896</v>
      </c>
      <c r="G138" s="14"/>
      <c r="H138" s="14"/>
    </row>
    <row r="139" spans="1:8" ht="12.45" thickBot="1">
      <c r="A139" s="495">
        <v>11038</v>
      </c>
      <c r="B139" s="496" t="s">
        <v>1897</v>
      </c>
      <c r="C139" s="496" t="s">
        <v>153</v>
      </c>
      <c r="D139" s="496"/>
      <c r="E139" s="495">
        <v>266</v>
      </c>
      <c r="F139" s="495" t="s">
        <v>1898</v>
      </c>
      <c r="G139" s="14"/>
      <c r="H139" s="14"/>
    </row>
    <row r="140" spans="1:8" ht="12.45" thickBot="1">
      <c r="A140" s="495">
        <v>15067</v>
      </c>
      <c r="B140" s="496" t="s">
        <v>1899</v>
      </c>
      <c r="C140" s="496" t="s">
        <v>202</v>
      </c>
      <c r="D140" s="496"/>
      <c r="E140" s="495">
        <v>39</v>
      </c>
      <c r="F140" s="495" t="s">
        <v>1900</v>
      </c>
      <c r="G140" s="14"/>
      <c r="H140" s="14"/>
    </row>
    <row r="141" spans="1:8">
      <c r="A141" s="495">
        <v>12086</v>
      </c>
      <c r="B141" s="496" t="s">
        <v>1901</v>
      </c>
      <c r="C141" s="496" t="s">
        <v>501</v>
      </c>
      <c r="D141" s="496"/>
      <c r="E141" s="495">
        <v>55</v>
      </c>
      <c r="F141" s="495" t="s">
        <v>1902</v>
      </c>
      <c r="G141" s="14"/>
      <c r="H141" s="14"/>
    </row>
    <row r="142" spans="1:8" ht="12.45" thickBot="1">
      <c r="A142" s="485"/>
      <c r="B142" s="485"/>
      <c r="C142" s="485"/>
      <c r="D142" s="485"/>
      <c r="E142" s="485"/>
      <c r="F142" s="485"/>
      <c r="G142" s="14"/>
      <c r="H142" s="14"/>
    </row>
    <row r="143" spans="1:8" ht="22.75" thickBot="1">
      <c r="A143" s="492" t="s">
        <v>1708</v>
      </c>
      <c r="B143" s="494" t="s">
        <v>1709</v>
      </c>
      <c r="C143" s="493" t="s">
        <v>60</v>
      </c>
      <c r="D143" s="493">
        <v>28</v>
      </c>
      <c r="E143" s="492" t="s">
        <v>61</v>
      </c>
      <c r="F143" s="492" t="s">
        <v>1903</v>
      </c>
      <c r="G143" s="14"/>
      <c r="H143" s="14"/>
    </row>
    <row r="144" spans="1:8" ht="12.45" thickBot="1">
      <c r="A144" s="495">
        <v>16029</v>
      </c>
      <c r="B144" s="496" t="s">
        <v>1904</v>
      </c>
      <c r="C144" s="496" t="s">
        <v>553</v>
      </c>
      <c r="D144" s="496"/>
      <c r="E144" s="495">
        <v>72</v>
      </c>
      <c r="F144" s="495" t="s">
        <v>1900</v>
      </c>
      <c r="G144" s="14"/>
      <c r="H144" s="14"/>
    </row>
    <row r="145" spans="1:8" ht="12.45" thickBot="1">
      <c r="A145" s="495">
        <v>14076</v>
      </c>
      <c r="B145" s="496" t="s">
        <v>1905</v>
      </c>
      <c r="C145" s="496" t="s">
        <v>553</v>
      </c>
      <c r="D145" s="496"/>
      <c r="E145" s="495">
        <v>142</v>
      </c>
      <c r="F145" s="495" t="s">
        <v>1906</v>
      </c>
      <c r="G145" s="14"/>
      <c r="H145" s="14"/>
    </row>
    <row r="146" spans="1:8">
      <c r="A146" s="495">
        <v>14099</v>
      </c>
      <c r="B146" s="496" t="s">
        <v>1907</v>
      </c>
      <c r="C146" s="496" t="s">
        <v>553</v>
      </c>
      <c r="D146" s="496"/>
      <c r="E146" s="495">
        <v>69</v>
      </c>
      <c r="F146" s="495" t="s">
        <v>1908</v>
      </c>
      <c r="G146" s="14"/>
      <c r="H146" s="14"/>
    </row>
    <row r="147" spans="1:8" ht="12.45" thickBot="1">
      <c r="A147" s="485"/>
      <c r="B147" s="485"/>
      <c r="C147" s="485"/>
      <c r="D147" s="485"/>
      <c r="E147" s="485"/>
      <c r="F147" s="485"/>
      <c r="G147" s="14"/>
      <c r="H147" s="14"/>
    </row>
    <row r="148" spans="1:8" ht="22.75" thickBot="1">
      <c r="A148" s="492" t="s">
        <v>1708</v>
      </c>
      <c r="B148" s="494" t="s">
        <v>1709</v>
      </c>
      <c r="C148" s="493" t="s">
        <v>60</v>
      </c>
      <c r="D148" s="493">
        <v>29</v>
      </c>
      <c r="E148" s="492" t="s">
        <v>61</v>
      </c>
      <c r="F148" s="492" t="s">
        <v>1909</v>
      </c>
      <c r="G148" s="14"/>
      <c r="H148" s="14"/>
    </row>
    <row r="149" spans="1:8" ht="12.45" thickBot="1">
      <c r="A149" s="495">
        <v>28006</v>
      </c>
      <c r="B149" s="496" t="s">
        <v>1910</v>
      </c>
      <c r="C149" s="496" t="s">
        <v>198</v>
      </c>
      <c r="D149" s="496"/>
      <c r="E149" s="495">
        <v>5</v>
      </c>
      <c r="F149" s="495" t="s">
        <v>1911</v>
      </c>
      <c r="G149" s="14"/>
      <c r="H149" s="14"/>
    </row>
    <row r="150" spans="1:8" ht="12.45" thickBot="1">
      <c r="A150" s="495">
        <v>18060</v>
      </c>
      <c r="B150" s="496" t="s">
        <v>1912</v>
      </c>
      <c r="C150" s="496" t="s">
        <v>751</v>
      </c>
      <c r="D150" s="496"/>
      <c r="E150" s="495">
        <v>351</v>
      </c>
      <c r="F150" s="495" t="s">
        <v>1913</v>
      </c>
      <c r="G150" s="14"/>
      <c r="H150" s="14"/>
    </row>
    <row r="151" spans="1:8">
      <c r="A151" s="495">
        <v>15008</v>
      </c>
      <c r="B151" s="496" t="s">
        <v>1914</v>
      </c>
      <c r="C151" s="496" t="s">
        <v>650</v>
      </c>
      <c r="D151" s="496"/>
      <c r="E151" s="495">
        <v>62</v>
      </c>
      <c r="F151" s="495" t="s">
        <v>1915</v>
      </c>
      <c r="G151" s="14"/>
      <c r="H151" s="14"/>
    </row>
    <row r="152" spans="1:8" ht="12.45" thickBot="1">
      <c r="A152" s="485"/>
      <c r="B152" s="485"/>
      <c r="C152" s="485"/>
      <c r="D152" s="485"/>
      <c r="E152" s="485"/>
      <c r="F152" s="485"/>
      <c r="G152" s="14"/>
      <c r="H152" s="14"/>
    </row>
    <row r="153" spans="1:8" ht="22.75" thickBot="1">
      <c r="A153" s="492" t="s">
        <v>1708</v>
      </c>
      <c r="B153" s="494" t="s">
        <v>1709</v>
      </c>
      <c r="C153" s="493" t="s">
        <v>60</v>
      </c>
      <c r="D153" s="493">
        <v>30</v>
      </c>
      <c r="E153" s="492" t="s">
        <v>61</v>
      </c>
      <c r="F153" s="492" t="s">
        <v>1916</v>
      </c>
      <c r="G153" s="14"/>
      <c r="H153" s="14"/>
    </row>
    <row r="154" spans="1:8" ht="12.45" thickBot="1">
      <c r="A154" s="495">
        <v>12038</v>
      </c>
      <c r="B154" s="496" t="s">
        <v>1917</v>
      </c>
      <c r="C154" s="496" t="s">
        <v>599</v>
      </c>
      <c r="D154" s="496"/>
      <c r="E154" s="495">
        <v>37</v>
      </c>
      <c r="F154" s="495" t="s">
        <v>1918</v>
      </c>
      <c r="G154" s="14"/>
      <c r="H154" s="14"/>
    </row>
    <row r="155" spans="1:8" ht="12.45" thickBot="1">
      <c r="A155" s="495">
        <v>15023</v>
      </c>
      <c r="B155" s="496" t="s">
        <v>1919</v>
      </c>
      <c r="C155" s="496" t="s">
        <v>678</v>
      </c>
      <c r="D155" s="496"/>
      <c r="E155" s="495">
        <v>83</v>
      </c>
      <c r="F155" s="495" t="s">
        <v>1920</v>
      </c>
      <c r="G155" s="14"/>
      <c r="H155" s="14"/>
    </row>
    <row r="156" spans="1:8">
      <c r="A156" s="495">
        <v>12037</v>
      </c>
      <c r="B156" s="496" t="s">
        <v>1921</v>
      </c>
      <c r="C156" s="496" t="s">
        <v>599</v>
      </c>
      <c r="D156" s="496"/>
      <c r="E156" s="495">
        <v>35</v>
      </c>
      <c r="F156" s="495" t="s">
        <v>1794</v>
      </c>
      <c r="G156" s="14"/>
      <c r="H156" s="14"/>
    </row>
    <row r="157" spans="1:8" ht="12.45" thickBot="1">
      <c r="A157" s="485"/>
      <c r="B157" s="485"/>
      <c r="C157" s="485"/>
      <c r="D157" s="485"/>
      <c r="E157" s="485"/>
      <c r="F157" s="485"/>
      <c r="G157" s="14"/>
      <c r="H157" s="14"/>
    </row>
    <row r="158" spans="1:8" ht="22.75" thickBot="1">
      <c r="A158" s="492" t="s">
        <v>1708</v>
      </c>
      <c r="B158" s="494" t="s">
        <v>1709</v>
      </c>
      <c r="C158" s="493" t="s">
        <v>60</v>
      </c>
      <c r="D158" s="493">
        <v>31</v>
      </c>
      <c r="E158" s="492" t="s">
        <v>61</v>
      </c>
      <c r="F158" s="492" t="s">
        <v>1922</v>
      </c>
      <c r="G158" s="14"/>
      <c r="H158" s="14"/>
    </row>
    <row r="159" spans="1:8" ht="12.45" thickBot="1">
      <c r="A159" s="495">
        <v>22119</v>
      </c>
      <c r="B159" s="496" t="s">
        <v>1923</v>
      </c>
      <c r="C159" s="496" t="s">
        <v>1866</v>
      </c>
      <c r="D159" s="496"/>
      <c r="E159" s="495">
        <v>19</v>
      </c>
      <c r="F159" s="495" t="s">
        <v>1924</v>
      </c>
      <c r="G159" s="14"/>
      <c r="H159" s="14"/>
    </row>
    <row r="160" spans="1:8" ht="12.45" thickBot="1">
      <c r="A160" s="495">
        <v>16151</v>
      </c>
      <c r="B160" s="496" t="s">
        <v>1925</v>
      </c>
      <c r="C160" s="496" t="s">
        <v>1866</v>
      </c>
      <c r="D160" s="496"/>
      <c r="E160" s="495">
        <v>203</v>
      </c>
      <c r="F160" s="495" t="s">
        <v>1926</v>
      </c>
      <c r="G160" s="14"/>
      <c r="H160" s="14"/>
    </row>
    <row r="161" spans="1:8">
      <c r="A161" s="495">
        <v>15068</v>
      </c>
      <c r="B161" s="496" t="s">
        <v>1927</v>
      </c>
      <c r="C161" s="496" t="s">
        <v>613</v>
      </c>
      <c r="D161" s="496"/>
      <c r="E161" s="495">
        <v>95</v>
      </c>
      <c r="F161" s="495" t="s">
        <v>1928</v>
      </c>
      <c r="G161" s="14"/>
      <c r="H161" s="14"/>
    </row>
    <row r="162" spans="1:8" ht="12.45" thickBot="1">
      <c r="A162" s="485"/>
      <c r="B162" s="485"/>
      <c r="C162" s="485"/>
      <c r="D162" s="485"/>
      <c r="E162" s="485"/>
      <c r="F162" s="485"/>
      <c r="G162" s="14"/>
      <c r="H162" s="14"/>
    </row>
    <row r="163" spans="1:8" ht="22.75" thickBot="1">
      <c r="A163" s="492" t="s">
        <v>1708</v>
      </c>
      <c r="B163" s="494" t="s">
        <v>1709</v>
      </c>
      <c r="C163" s="493" t="s">
        <v>60</v>
      </c>
      <c r="D163" s="493">
        <v>32</v>
      </c>
      <c r="E163" s="492" t="s">
        <v>61</v>
      </c>
      <c r="F163" s="492" t="s">
        <v>1929</v>
      </c>
      <c r="G163" s="14"/>
      <c r="H163" s="14"/>
    </row>
    <row r="164" spans="1:8" ht="12.45" thickBot="1">
      <c r="A164" s="495">
        <v>19025</v>
      </c>
      <c r="B164" s="496" t="s">
        <v>1930</v>
      </c>
      <c r="C164" s="496" t="s">
        <v>553</v>
      </c>
      <c r="D164" s="496"/>
      <c r="E164" s="495">
        <v>115</v>
      </c>
      <c r="F164" s="495" t="s">
        <v>1931</v>
      </c>
      <c r="G164" s="14"/>
      <c r="H164" s="14"/>
    </row>
    <row r="165" spans="1:8" ht="12.45" thickBot="1">
      <c r="A165" s="495">
        <v>18055</v>
      </c>
      <c r="B165" s="496" t="s">
        <v>1932</v>
      </c>
      <c r="C165" s="496" t="s">
        <v>553</v>
      </c>
      <c r="D165" s="496"/>
      <c r="E165" s="495">
        <v>139</v>
      </c>
      <c r="F165" s="495" t="s">
        <v>1933</v>
      </c>
      <c r="G165" s="14"/>
      <c r="H165" s="14"/>
    </row>
    <row r="166" spans="1:8">
      <c r="A166" s="495">
        <v>16117</v>
      </c>
      <c r="B166" s="496" t="s">
        <v>1934</v>
      </c>
      <c r="C166" s="496" t="s">
        <v>747</v>
      </c>
      <c r="D166" s="496"/>
      <c r="E166" s="495">
        <v>88</v>
      </c>
      <c r="F166" s="495" t="s">
        <v>1826</v>
      </c>
      <c r="G166" s="14"/>
      <c r="H166" s="14"/>
    </row>
    <row r="167" spans="1:8" ht="12.45" thickBot="1">
      <c r="A167" s="485"/>
      <c r="B167" s="485"/>
      <c r="C167" s="485"/>
      <c r="D167" s="485"/>
      <c r="E167" s="485"/>
      <c r="F167" s="485"/>
      <c r="G167" s="14"/>
      <c r="H167" s="14"/>
    </row>
    <row r="168" spans="1:8" ht="22.75" thickBot="1">
      <c r="A168" s="492" t="s">
        <v>1708</v>
      </c>
      <c r="B168" s="494" t="s">
        <v>1709</v>
      </c>
      <c r="C168" s="493" t="s">
        <v>60</v>
      </c>
      <c r="D168" s="493">
        <v>33</v>
      </c>
      <c r="E168" s="492" t="s">
        <v>61</v>
      </c>
      <c r="F168" s="492" t="s">
        <v>1935</v>
      </c>
      <c r="G168" s="14"/>
      <c r="H168" s="14"/>
    </row>
    <row r="169" spans="1:8" ht="12.45" thickBot="1">
      <c r="A169" s="495">
        <v>21053</v>
      </c>
      <c r="B169" s="496" t="s">
        <v>1936</v>
      </c>
      <c r="C169" s="496" t="s">
        <v>1752</v>
      </c>
      <c r="D169" s="496"/>
      <c r="E169" s="495">
        <v>67</v>
      </c>
      <c r="F169" s="495" t="s">
        <v>1937</v>
      </c>
      <c r="G169" s="14"/>
      <c r="H169" s="14"/>
    </row>
    <row r="170" spans="1:8" ht="12.45" thickBot="1">
      <c r="A170" s="495">
        <v>20554</v>
      </c>
      <c r="B170" s="496" t="s">
        <v>1938</v>
      </c>
      <c r="C170" s="496" t="s">
        <v>1752</v>
      </c>
      <c r="D170" s="496"/>
      <c r="E170" s="495">
        <v>73</v>
      </c>
      <c r="F170" s="495" t="s">
        <v>1939</v>
      </c>
      <c r="G170" s="14"/>
      <c r="H170" s="14"/>
    </row>
    <row r="171" spans="1:8">
      <c r="A171" s="495">
        <v>20579</v>
      </c>
      <c r="B171" s="496" t="s">
        <v>1940</v>
      </c>
      <c r="C171" s="496" t="s">
        <v>510</v>
      </c>
      <c r="D171" s="496"/>
      <c r="E171" s="495">
        <v>241</v>
      </c>
      <c r="F171" s="495" t="s">
        <v>1941</v>
      </c>
      <c r="G171" s="14"/>
      <c r="H171" s="14"/>
    </row>
    <row r="172" spans="1:8" ht="12.45" thickBot="1">
      <c r="A172" s="485"/>
      <c r="B172" s="485"/>
      <c r="C172" s="485"/>
      <c r="D172" s="485"/>
      <c r="E172" s="485"/>
      <c r="F172" s="485"/>
      <c r="G172" s="14"/>
      <c r="H172" s="14"/>
    </row>
    <row r="173" spans="1:8" ht="22.75" thickBot="1">
      <c r="A173" s="492" t="s">
        <v>1708</v>
      </c>
      <c r="B173" s="494" t="s">
        <v>1709</v>
      </c>
      <c r="C173" s="493" t="s">
        <v>60</v>
      </c>
      <c r="D173" s="493">
        <v>34</v>
      </c>
      <c r="E173" s="492" t="s">
        <v>61</v>
      </c>
      <c r="F173" s="492" t="s">
        <v>1942</v>
      </c>
      <c r="G173" s="14"/>
      <c r="H173" s="14"/>
    </row>
    <row r="174" spans="1:8" ht="12.45" thickBot="1">
      <c r="A174" s="495">
        <v>25011</v>
      </c>
      <c r="B174" s="496" t="s">
        <v>1943</v>
      </c>
      <c r="C174" s="496" t="s">
        <v>501</v>
      </c>
      <c r="D174" s="496"/>
      <c r="E174" s="495">
        <v>104</v>
      </c>
      <c r="F174" s="495" t="s">
        <v>1944</v>
      </c>
      <c r="G174" s="14"/>
      <c r="H174" s="14"/>
    </row>
    <row r="175" spans="1:8" ht="12.45" thickBot="1">
      <c r="A175" s="495">
        <v>27062</v>
      </c>
      <c r="B175" s="496" t="s">
        <v>1945</v>
      </c>
      <c r="C175" s="496" t="s">
        <v>768</v>
      </c>
      <c r="D175" s="496"/>
      <c r="E175" s="495">
        <v>184</v>
      </c>
      <c r="F175" s="495" t="s">
        <v>1946</v>
      </c>
      <c r="G175" s="14"/>
      <c r="H175" s="14"/>
    </row>
    <row r="176" spans="1:8">
      <c r="A176" s="495">
        <v>11031</v>
      </c>
      <c r="B176" s="496" t="s">
        <v>1947</v>
      </c>
      <c r="C176" s="496" t="s">
        <v>175</v>
      </c>
      <c r="D176" s="496"/>
      <c r="E176" s="495">
        <v>134</v>
      </c>
      <c r="F176" s="495" t="s">
        <v>1948</v>
      </c>
      <c r="G176" s="14"/>
      <c r="H176" s="14"/>
    </row>
    <row r="177" spans="1:8" ht="12.45" thickBot="1">
      <c r="A177" s="485"/>
      <c r="B177" s="485"/>
      <c r="C177" s="485"/>
      <c r="D177" s="485"/>
      <c r="E177" s="485"/>
      <c r="F177" s="485"/>
      <c r="G177" s="14"/>
      <c r="H177" s="14"/>
    </row>
    <row r="178" spans="1:8" ht="22.75" thickBot="1">
      <c r="A178" s="492" t="s">
        <v>1708</v>
      </c>
      <c r="B178" s="494" t="s">
        <v>1709</v>
      </c>
      <c r="C178" s="493" t="s">
        <v>60</v>
      </c>
      <c r="D178" s="493">
        <v>35</v>
      </c>
      <c r="E178" s="492" t="s">
        <v>61</v>
      </c>
      <c r="F178" s="492" t="s">
        <v>1949</v>
      </c>
      <c r="G178" s="14"/>
      <c r="H178" s="14"/>
    </row>
    <row r="179" spans="1:8" ht="12.45" thickBot="1">
      <c r="A179" s="495">
        <v>15060</v>
      </c>
      <c r="B179" s="496" t="s">
        <v>1950</v>
      </c>
      <c r="C179" s="496" t="s">
        <v>637</v>
      </c>
      <c r="D179" s="496"/>
      <c r="E179" s="495">
        <v>96</v>
      </c>
      <c r="F179" s="495" t="s">
        <v>1951</v>
      </c>
      <c r="G179" s="14"/>
      <c r="H179" s="14"/>
    </row>
    <row r="180" spans="1:8" ht="12.45" thickBot="1">
      <c r="A180" s="495">
        <v>17090</v>
      </c>
      <c r="B180" s="496" t="s">
        <v>1952</v>
      </c>
      <c r="C180" s="496" t="s">
        <v>637</v>
      </c>
      <c r="D180" s="496"/>
      <c r="E180" s="495">
        <v>126</v>
      </c>
      <c r="F180" s="495" t="s">
        <v>1953</v>
      </c>
      <c r="G180" s="14"/>
      <c r="H180" s="14"/>
    </row>
    <row r="181" spans="1:8">
      <c r="A181" s="495">
        <v>18130</v>
      </c>
      <c r="B181" s="496" t="s">
        <v>1954</v>
      </c>
      <c r="C181" s="496" t="s">
        <v>637</v>
      </c>
      <c r="D181" s="496"/>
      <c r="E181" s="495">
        <v>127</v>
      </c>
      <c r="F181" s="495" t="s">
        <v>1955</v>
      </c>
      <c r="G181" s="14"/>
      <c r="H181" s="14"/>
    </row>
    <row r="182" spans="1:8" ht="12.45" thickBot="1">
      <c r="A182" s="485"/>
      <c r="B182" s="485"/>
      <c r="C182" s="485"/>
      <c r="D182" s="485"/>
      <c r="E182" s="485"/>
      <c r="F182" s="485"/>
      <c r="G182" s="14"/>
      <c r="H182" s="14"/>
    </row>
    <row r="183" spans="1:8" ht="22.75" thickBot="1">
      <c r="A183" s="492" t="s">
        <v>1708</v>
      </c>
      <c r="B183" s="494" t="s">
        <v>1709</v>
      </c>
      <c r="C183" s="493" t="s">
        <v>60</v>
      </c>
      <c r="D183" s="493">
        <v>36</v>
      </c>
      <c r="E183" s="492" t="s">
        <v>61</v>
      </c>
      <c r="F183" s="492" t="s">
        <v>1956</v>
      </c>
      <c r="G183" s="14"/>
      <c r="H183" s="14"/>
    </row>
    <row r="184" spans="1:8" ht="12.45" thickBot="1">
      <c r="A184" s="495">
        <v>24271</v>
      </c>
      <c r="B184" s="496" t="s">
        <v>1957</v>
      </c>
      <c r="C184" s="496" t="s">
        <v>1752</v>
      </c>
      <c r="D184" s="496"/>
      <c r="E184" s="495">
        <v>111</v>
      </c>
      <c r="F184" s="495" t="s">
        <v>1958</v>
      </c>
      <c r="G184" s="14"/>
      <c r="H184" s="14"/>
    </row>
    <row r="185" spans="1:8" ht="12.45" thickBot="1">
      <c r="A185" s="495">
        <v>18063</v>
      </c>
      <c r="B185" s="496" t="s">
        <v>1959</v>
      </c>
      <c r="C185" s="496" t="s">
        <v>202</v>
      </c>
      <c r="D185" s="496"/>
      <c r="E185" s="495">
        <v>322</v>
      </c>
      <c r="F185" s="495" t="s">
        <v>1960</v>
      </c>
      <c r="G185" s="14"/>
      <c r="H185" s="14"/>
    </row>
    <row r="186" spans="1:8">
      <c r="A186" s="495">
        <v>98482</v>
      </c>
      <c r="B186" s="496" t="s">
        <v>1961</v>
      </c>
      <c r="C186" s="496" t="s">
        <v>1752</v>
      </c>
      <c r="D186" s="496"/>
      <c r="E186" s="495">
        <v>136</v>
      </c>
      <c r="F186" s="495" t="s">
        <v>1962</v>
      </c>
      <c r="G186" s="14"/>
      <c r="H186" s="14"/>
    </row>
    <row r="187" spans="1:8" ht="12.45" thickBot="1">
      <c r="A187" s="485"/>
      <c r="B187" s="485"/>
      <c r="C187" s="485"/>
      <c r="D187" s="485"/>
      <c r="E187" s="485"/>
      <c r="F187" s="485"/>
      <c r="G187" s="14"/>
      <c r="H187" s="14"/>
    </row>
    <row r="188" spans="1:8" ht="22.75" thickBot="1">
      <c r="A188" s="492" t="s">
        <v>1708</v>
      </c>
      <c r="B188" s="494" t="s">
        <v>1709</v>
      </c>
      <c r="C188" s="493" t="s">
        <v>60</v>
      </c>
      <c r="D188" s="493">
        <v>37</v>
      </c>
      <c r="E188" s="492" t="s">
        <v>61</v>
      </c>
      <c r="F188" s="492" t="s">
        <v>1963</v>
      </c>
      <c r="G188" s="14"/>
      <c r="H188" s="14"/>
    </row>
    <row r="189" spans="1:8" ht="12.45" thickBot="1">
      <c r="A189" s="495">
        <v>16010</v>
      </c>
      <c r="B189" s="496" t="s">
        <v>1964</v>
      </c>
      <c r="C189" s="496" t="s">
        <v>202</v>
      </c>
      <c r="D189" s="496"/>
      <c r="E189" s="495">
        <v>158</v>
      </c>
      <c r="F189" s="495" t="s">
        <v>1965</v>
      </c>
      <c r="G189" s="14"/>
      <c r="H189" s="14"/>
    </row>
    <row r="190" spans="1:8" ht="12.45" thickBot="1">
      <c r="A190" s="495">
        <v>13044</v>
      </c>
      <c r="B190" s="496" t="s">
        <v>1966</v>
      </c>
      <c r="C190" s="496" t="s">
        <v>202</v>
      </c>
      <c r="D190" s="496"/>
      <c r="E190" s="495">
        <v>58</v>
      </c>
      <c r="F190" s="495" t="s">
        <v>1967</v>
      </c>
      <c r="G190" s="14"/>
      <c r="H190" s="14"/>
    </row>
    <row r="191" spans="1:8">
      <c r="A191" s="495">
        <v>21913</v>
      </c>
      <c r="B191" s="496" t="s">
        <v>1968</v>
      </c>
      <c r="C191" s="496" t="s">
        <v>778</v>
      </c>
      <c r="D191" s="496"/>
      <c r="E191" s="495">
        <v>47</v>
      </c>
      <c r="F191" s="495" t="s">
        <v>1768</v>
      </c>
      <c r="G191" s="14"/>
      <c r="H191" s="14"/>
    </row>
    <row r="192" spans="1:8" ht="12.45" thickBot="1">
      <c r="A192" s="485"/>
      <c r="B192" s="485"/>
      <c r="C192" s="485"/>
      <c r="D192" s="485"/>
      <c r="E192" s="485"/>
      <c r="F192" s="485"/>
      <c r="G192" s="14"/>
      <c r="H192" s="14"/>
    </row>
    <row r="193" spans="1:8" ht="22.75" thickBot="1">
      <c r="A193" s="492" t="s">
        <v>1708</v>
      </c>
      <c r="B193" s="494" t="s">
        <v>1709</v>
      </c>
      <c r="C193" s="493" t="s">
        <v>60</v>
      </c>
      <c r="D193" s="493">
        <v>38</v>
      </c>
      <c r="E193" s="492" t="s">
        <v>61</v>
      </c>
      <c r="F193" s="492" t="s">
        <v>1969</v>
      </c>
      <c r="G193" s="14"/>
      <c r="H193" s="14"/>
    </row>
    <row r="194" spans="1:8" ht="12.45" thickBot="1">
      <c r="A194" s="495">
        <v>20532</v>
      </c>
      <c r="B194" s="496" t="s">
        <v>1970</v>
      </c>
      <c r="C194" s="496" t="s">
        <v>242</v>
      </c>
      <c r="D194" s="496"/>
      <c r="E194" s="495">
        <v>120</v>
      </c>
      <c r="F194" s="495" t="s">
        <v>1971</v>
      </c>
      <c r="G194" s="14"/>
      <c r="H194" s="14"/>
    </row>
    <row r="195" spans="1:8" ht="12.45" thickBot="1">
      <c r="A195" s="495">
        <v>20534</v>
      </c>
      <c r="B195" s="496" t="s">
        <v>1972</v>
      </c>
      <c r="C195" s="496" t="s">
        <v>1973</v>
      </c>
      <c r="D195" s="496"/>
      <c r="E195" s="495">
        <v>132</v>
      </c>
      <c r="F195" s="495" t="s">
        <v>1974</v>
      </c>
      <c r="G195" s="14"/>
      <c r="H195" s="14"/>
    </row>
    <row r="196" spans="1:8">
      <c r="A196" s="495">
        <v>22182</v>
      </c>
      <c r="B196" s="496" t="s">
        <v>1975</v>
      </c>
      <c r="C196" s="496" t="s">
        <v>1509</v>
      </c>
      <c r="D196" s="496"/>
      <c r="E196" s="495">
        <v>137</v>
      </c>
      <c r="F196" s="495" t="s">
        <v>1976</v>
      </c>
      <c r="G196" s="14"/>
      <c r="H196" s="14"/>
    </row>
    <row r="197" spans="1:8" ht="12.45" thickBot="1">
      <c r="A197" s="485"/>
      <c r="B197" s="485"/>
      <c r="C197" s="485"/>
      <c r="D197" s="485"/>
      <c r="E197" s="485"/>
      <c r="F197" s="485"/>
      <c r="G197" s="14"/>
      <c r="H197" s="14"/>
    </row>
    <row r="198" spans="1:8" ht="22.75" thickBot="1">
      <c r="A198" s="492" t="s">
        <v>1708</v>
      </c>
      <c r="B198" s="494" t="s">
        <v>1709</v>
      </c>
      <c r="C198" s="493" t="s">
        <v>60</v>
      </c>
      <c r="D198" s="493">
        <v>39</v>
      </c>
      <c r="E198" s="492" t="s">
        <v>61</v>
      </c>
      <c r="F198" s="492" t="s">
        <v>1977</v>
      </c>
      <c r="G198" s="14"/>
      <c r="H198" s="14"/>
    </row>
    <row r="199" spans="1:8" ht="12.45" thickBot="1">
      <c r="A199" s="495">
        <v>23248</v>
      </c>
      <c r="B199" s="496" t="s">
        <v>1978</v>
      </c>
      <c r="C199" s="496" t="s">
        <v>751</v>
      </c>
      <c r="D199" s="496"/>
      <c r="E199" s="495">
        <v>214</v>
      </c>
      <c r="F199" s="495" t="s">
        <v>1979</v>
      </c>
      <c r="G199" s="14"/>
      <c r="H199" s="14"/>
    </row>
    <row r="200" spans="1:8" ht="12.45" thickBot="1">
      <c r="A200" s="495">
        <v>18131</v>
      </c>
      <c r="B200" s="496" t="s">
        <v>1980</v>
      </c>
      <c r="C200" s="496" t="s">
        <v>751</v>
      </c>
      <c r="D200" s="496"/>
      <c r="E200" s="495">
        <v>133</v>
      </c>
      <c r="F200" s="495" t="s">
        <v>1981</v>
      </c>
      <c r="G200" s="14"/>
      <c r="H200" s="14"/>
    </row>
    <row r="201" spans="1:8">
      <c r="A201" s="495">
        <v>18001</v>
      </c>
      <c r="B201" s="496" t="s">
        <v>1982</v>
      </c>
      <c r="C201" s="496" t="s">
        <v>751</v>
      </c>
      <c r="D201" s="496"/>
      <c r="E201" s="495">
        <v>146</v>
      </c>
      <c r="F201" s="495" t="s">
        <v>1983</v>
      </c>
      <c r="G201" s="14"/>
      <c r="H201" s="14"/>
    </row>
    <row r="202" spans="1:8" ht="12.45" thickBot="1">
      <c r="A202" s="485"/>
      <c r="B202" s="485"/>
      <c r="C202" s="485"/>
      <c r="D202" s="485"/>
      <c r="E202" s="485"/>
      <c r="F202" s="485"/>
      <c r="G202" s="14"/>
      <c r="H202" s="14"/>
    </row>
    <row r="203" spans="1:8" ht="22.75" thickBot="1">
      <c r="A203" s="492" t="s">
        <v>1708</v>
      </c>
      <c r="B203" s="494" t="s">
        <v>1709</v>
      </c>
      <c r="C203" s="493" t="s">
        <v>60</v>
      </c>
      <c r="D203" s="493">
        <v>40</v>
      </c>
      <c r="E203" s="492" t="s">
        <v>61</v>
      </c>
      <c r="F203" s="492" t="s">
        <v>1984</v>
      </c>
      <c r="G203" s="14"/>
      <c r="H203" s="14"/>
    </row>
    <row r="204" spans="1:8" ht="12.45" thickBot="1">
      <c r="A204" s="495">
        <v>20527</v>
      </c>
      <c r="B204" s="496" t="s">
        <v>1985</v>
      </c>
      <c r="C204" s="496" t="s">
        <v>1866</v>
      </c>
      <c r="D204" s="496"/>
      <c r="E204" s="495">
        <v>101</v>
      </c>
      <c r="F204" s="495" t="s">
        <v>1986</v>
      </c>
      <c r="G204" s="14"/>
      <c r="H204" s="14"/>
    </row>
    <row r="205" spans="1:8" ht="12.45" thickBot="1">
      <c r="A205" s="495">
        <v>20513</v>
      </c>
      <c r="B205" s="496" t="s">
        <v>1987</v>
      </c>
      <c r="C205" s="496" t="s">
        <v>1988</v>
      </c>
      <c r="D205" s="496"/>
      <c r="E205" s="495">
        <v>192</v>
      </c>
      <c r="F205" s="495" t="s">
        <v>1989</v>
      </c>
      <c r="G205" s="14"/>
      <c r="H205" s="14"/>
    </row>
    <row r="206" spans="1:8">
      <c r="A206" s="495">
        <v>22179</v>
      </c>
      <c r="B206" s="496" t="s">
        <v>1990</v>
      </c>
      <c r="C206" s="496" t="s">
        <v>1866</v>
      </c>
      <c r="D206" s="496"/>
      <c r="E206" s="495">
        <v>151</v>
      </c>
      <c r="F206" s="495" t="s">
        <v>1991</v>
      </c>
      <c r="G206" s="14"/>
      <c r="H206" s="14"/>
    </row>
    <row r="207" spans="1:8" ht="12.45" thickBot="1">
      <c r="A207" s="485"/>
      <c r="B207" s="485"/>
      <c r="C207" s="485"/>
      <c r="D207" s="485"/>
      <c r="E207" s="485"/>
      <c r="F207" s="485"/>
      <c r="G207" s="14"/>
      <c r="H207" s="14"/>
    </row>
    <row r="208" spans="1:8" ht="22.75" thickBot="1">
      <c r="A208" s="492" t="s">
        <v>1708</v>
      </c>
      <c r="B208" s="494" t="s">
        <v>1709</v>
      </c>
      <c r="C208" s="493" t="s">
        <v>60</v>
      </c>
      <c r="D208" s="493">
        <v>41</v>
      </c>
      <c r="E208" s="492" t="s">
        <v>61</v>
      </c>
      <c r="F208" s="492" t="s">
        <v>1992</v>
      </c>
      <c r="G208" s="14"/>
      <c r="H208" s="14"/>
    </row>
    <row r="209" spans="1:8" ht="12.45" thickBot="1">
      <c r="A209" s="495">
        <v>10012</v>
      </c>
      <c r="B209" s="496" t="s">
        <v>1993</v>
      </c>
      <c r="C209" s="496" t="s">
        <v>1988</v>
      </c>
      <c r="D209" s="496"/>
      <c r="E209" s="495">
        <v>122</v>
      </c>
      <c r="F209" s="495" t="s">
        <v>1828</v>
      </c>
      <c r="G209" s="14"/>
      <c r="H209" s="14"/>
    </row>
    <row r="210" spans="1:8" ht="12.45" thickBot="1">
      <c r="A210" s="495">
        <v>22111</v>
      </c>
      <c r="B210" s="496" t="s">
        <v>1994</v>
      </c>
      <c r="C210" s="496" t="s">
        <v>1988</v>
      </c>
      <c r="D210" s="496"/>
      <c r="E210" s="495">
        <v>152</v>
      </c>
      <c r="F210" s="495" t="s">
        <v>1995</v>
      </c>
      <c r="G210" s="14"/>
      <c r="H210" s="14"/>
    </row>
    <row r="211" spans="1:8">
      <c r="A211" s="495">
        <v>20511</v>
      </c>
      <c r="B211" s="496" t="s">
        <v>1996</v>
      </c>
      <c r="C211" s="496" t="s">
        <v>1988</v>
      </c>
      <c r="D211" s="496"/>
      <c r="E211" s="495">
        <v>209</v>
      </c>
      <c r="F211" s="495" t="s">
        <v>1997</v>
      </c>
      <c r="G211" s="14"/>
      <c r="H211" s="14"/>
    </row>
    <row r="212" spans="1:8" ht="12.45" thickBot="1">
      <c r="A212" s="485"/>
      <c r="B212" s="485"/>
      <c r="C212" s="485"/>
      <c r="D212" s="485"/>
      <c r="E212" s="485"/>
      <c r="F212" s="485"/>
      <c r="G212" s="14"/>
      <c r="H212" s="14"/>
    </row>
    <row r="213" spans="1:8" ht="22.75" thickBot="1">
      <c r="A213" s="492" t="s">
        <v>1708</v>
      </c>
      <c r="B213" s="494" t="s">
        <v>1709</v>
      </c>
      <c r="C213" s="493" t="s">
        <v>60</v>
      </c>
      <c r="D213" s="493">
        <v>42</v>
      </c>
      <c r="E213" s="492" t="s">
        <v>61</v>
      </c>
      <c r="F213" s="492" t="s">
        <v>1998</v>
      </c>
      <c r="G213" s="14"/>
      <c r="H213" s="14"/>
    </row>
    <row r="214" spans="1:8" ht="12.45" thickBot="1">
      <c r="A214" s="495">
        <v>21836</v>
      </c>
      <c r="B214" s="496" t="s">
        <v>1999</v>
      </c>
      <c r="C214" s="496" t="s">
        <v>678</v>
      </c>
      <c r="D214" s="496"/>
      <c r="E214" s="495">
        <v>190</v>
      </c>
      <c r="F214" s="495" t="s">
        <v>2000</v>
      </c>
      <c r="G214" s="14"/>
      <c r="H214" s="14"/>
    </row>
    <row r="215" spans="1:8" ht="12.45" thickBot="1">
      <c r="A215" s="495">
        <v>28001</v>
      </c>
      <c r="B215" s="496" t="s">
        <v>2001</v>
      </c>
      <c r="C215" s="496" t="s">
        <v>678</v>
      </c>
      <c r="D215" s="496"/>
      <c r="E215" s="495">
        <v>185</v>
      </c>
      <c r="F215" s="495" t="s">
        <v>2002</v>
      </c>
      <c r="G215" s="14"/>
      <c r="H215" s="14"/>
    </row>
    <row r="216" spans="1:8">
      <c r="A216" s="495">
        <v>99510</v>
      </c>
      <c r="B216" s="496" t="s">
        <v>2003</v>
      </c>
      <c r="C216" s="496" t="s">
        <v>678</v>
      </c>
      <c r="D216" s="496"/>
      <c r="E216" s="495">
        <v>93</v>
      </c>
      <c r="F216" s="495" t="s">
        <v>2004</v>
      </c>
      <c r="G216" s="14"/>
      <c r="H216" s="14"/>
    </row>
    <row r="217" spans="1:8" ht="12.45" thickBot="1">
      <c r="A217" s="485"/>
      <c r="B217" s="485"/>
      <c r="C217" s="485"/>
      <c r="D217" s="485"/>
      <c r="E217" s="485"/>
      <c r="F217" s="485"/>
      <c r="G217" s="14"/>
      <c r="H217" s="14"/>
    </row>
    <row r="218" spans="1:8" ht="22.75" thickBot="1">
      <c r="A218" s="492" t="s">
        <v>1708</v>
      </c>
      <c r="B218" s="494" t="s">
        <v>1709</v>
      </c>
      <c r="C218" s="493" t="s">
        <v>60</v>
      </c>
      <c r="D218" s="493">
        <v>43</v>
      </c>
      <c r="E218" s="492" t="s">
        <v>61</v>
      </c>
      <c r="F218" s="492" t="s">
        <v>2005</v>
      </c>
      <c r="G218" s="14"/>
      <c r="H218" s="14"/>
    </row>
    <row r="219" spans="1:8" ht="12.45" thickBot="1">
      <c r="A219" s="495">
        <v>21026</v>
      </c>
      <c r="B219" s="496" t="s">
        <v>2006</v>
      </c>
      <c r="C219" s="496" t="s">
        <v>1973</v>
      </c>
      <c r="D219" s="496"/>
      <c r="E219" s="495">
        <v>131</v>
      </c>
      <c r="F219" s="495" t="s">
        <v>2007</v>
      </c>
      <c r="G219" s="14"/>
      <c r="H219" s="14"/>
    </row>
    <row r="220" spans="1:8" ht="12.45" thickBot="1">
      <c r="A220" s="495">
        <v>21025</v>
      </c>
      <c r="B220" s="496" t="s">
        <v>2008</v>
      </c>
      <c r="C220" s="496" t="s">
        <v>1973</v>
      </c>
      <c r="D220" s="496"/>
      <c r="E220" s="495">
        <v>194</v>
      </c>
      <c r="F220" s="495" t="s">
        <v>2009</v>
      </c>
      <c r="G220" s="14"/>
      <c r="H220" s="14"/>
    </row>
    <row r="221" spans="1:8">
      <c r="A221" s="495">
        <v>12042</v>
      </c>
      <c r="B221" s="496" t="s">
        <v>2010</v>
      </c>
      <c r="C221" s="496" t="s">
        <v>599</v>
      </c>
      <c r="D221" s="496"/>
      <c r="E221" s="495">
        <v>161</v>
      </c>
      <c r="F221" s="495" t="s">
        <v>2011</v>
      </c>
      <c r="G221" s="14"/>
      <c r="H221" s="14"/>
    </row>
    <row r="222" spans="1:8" ht="12.45" thickBot="1">
      <c r="A222" s="485"/>
      <c r="B222" s="485"/>
      <c r="C222" s="485"/>
      <c r="D222" s="485"/>
      <c r="E222" s="485"/>
      <c r="F222" s="485"/>
      <c r="G222" s="14"/>
      <c r="H222" s="14"/>
    </row>
    <row r="223" spans="1:8" ht="22.75" thickBot="1">
      <c r="A223" s="492" t="s">
        <v>1708</v>
      </c>
      <c r="B223" s="494" t="s">
        <v>1709</v>
      </c>
      <c r="C223" s="493" t="s">
        <v>60</v>
      </c>
      <c r="D223" s="493">
        <v>44</v>
      </c>
      <c r="E223" s="492" t="s">
        <v>61</v>
      </c>
      <c r="F223" s="492" t="s">
        <v>2012</v>
      </c>
      <c r="G223" s="14"/>
      <c r="H223" s="14"/>
    </row>
    <row r="224" spans="1:8" ht="12.45" thickBot="1">
      <c r="A224" s="495">
        <v>15011</v>
      </c>
      <c r="B224" s="496" t="s">
        <v>2013</v>
      </c>
      <c r="C224" s="496" t="s">
        <v>599</v>
      </c>
      <c r="D224" s="496"/>
      <c r="E224" s="495">
        <v>112</v>
      </c>
      <c r="F224" s="495" t="s">
        <v>2014</v>
      </c>
      <c r="G224" s="14"/>
      <c r="H224" s="14"/>
    </row>
    <row r="225" spans="1:8" ht="12.45" thickBot="1">
      <c r="A225" s="495">
        <v>15010</v>
      </c>
      <c r="B225" s="496" t="s">
        <v>2015</v>
      </c>
      <c r="C225" s="496" t="s">
        <v>599</v>
      </c>
      <c r="D225" s="496"/>
      <c r="E225" s="495">
        <v>164</v>
      </c>
      <c r="F225" s="495" t="s">
        <v>2016</v>
      </c>
      <c r="G225" s="14"/>
      <c r="H225" s="14"/>
    </row>
    <row r="226" spans="1:8">
      <c r="A226" s="495">
        <v>20573</v>
      </c>
      <c r="B226" s="496" t="s">
        <v>2017</v>
      </c>
      <c r="C226" s="496" t="s">
        <v>1988</v>
      </c>
      <c r="D226" s="496"/>
      <c r="E226" s="495">
        <v>175</v>
      </c>
      <c r="F226" s="495" t="s">
        <v>2018</v>
      </c>
      <c r="G226" s="14"/>
      <c r="H226" s="14"/>
    </row>
    <row r="227" spans="1:8" ht="12.45" thickBot="1">
      <c r="A227" s="485"/>
      <c r="B227" s="485"/>
      <c r="C227" s="485"/>
      <c r="D227" s="485"/>
      <c r="E227" s="485"/>
      <c r="F227" s="485"/>
      <c r="G227" s="14"/>
      <c r="H227" s="14"/>
    </row>
    <row r="228" spans="1:8" ht="22.75" thickBot="1">
      <c r="A228" s="492" t="s">
        <v>1708</v>
      </c>
      <c r="B228" s="494" t="s">
        <v>1709</v>
      </c>
      <c r="C228" s="493" t="s">
        <v>60</v>
      </c>
      <c r="D228" s="493">
        <v>45</v>
      </c>
      <c r="E228" s="492" t="s">
        <v>61</v>
      </c>
      <c r="F228" s="492" t="s">
        <v>2019</v>
      </c>
      <c r="G228" s="14"/>
      <c r="H228" s="14"/>
    </row>
    <row r="229" spans="1:8" ht="12.45" thickBot="1">
      <c r="A229" s="495">
        <v>23257</v>
      </c>
      <c r="B229" s="496" t="s">
        <v>2020</v>
      </c>
      <c r="C229" s="496" t="s">
        <v>597</v>
      </c>
      <c r="D229" s="496"/>
      <c r="E229" s="495">
        <v>216</v>
      </c>
      <c r="F229" s="495" t="s">
        <v>2021</v>
      </c>
      <c r="G229" s="14"/>
      <c r="H229" s="14"/>
    </row>
    <row r="230" spans="1:8" ht="12.45" thickBot="1">
      <c r="A230" s="495">
        <v>23256</v>
      </c>
      <c r="B230" s="496" t="s">
        <v>2022</v>
      </c>
      <c r="C230" s="496" t="s">
        <v>597</v>
      </c>
      <c r="D230" s="496"/>
      <c r="E230" s="495">
        <v>215</v>
      </c>
      <c r="F230" s="495" t="s">
        <v>2021</v>
      </c>
      <c r="G230" s="14"/>
      <c r="H230" s="14"/>
    </row>
    <row r="231" spans="1:8">
      <c r="A231" s="495">
        <v>20602</v>
      </c>
      <c r="B231" s="496" t="s">
        <v>2023</v>
      </c>
      <c r="C231" s="496" t="s">
        <v>597</v>
      </c>
      <c r="D231" s="496"/>
      <c r="E231" s="495">
        <v>239</v>
      </c>
      <c r="F231" s="495" t="s">
        <v>2024</v>
      </c>
      <c r="G231" s="14"/>
      <c r="H231" s="14"/>
    </row>
    <row r="232" spans="1:8" ht="12.45" thickBot="1">
      <c r="A232" s="485"/>
      <c r="B232" s="485"/>
      <c r="C232" s="485"/>
      <c r="D232" s="485"/>
      <c r="E232" s="485"/>
      <c r="F232" s="485"/>
      <c r="G232" s="14"/>
      <c r="H232" s="14"/>
    </row>
    <row r="233" spans="1:8" ht="22.75" thickBot="1">
      <c r="A233" s="492" t="s">
        <v>1708</v>
      </c>
      <c r="B233" s="494" t="s">
        <v>1709</v>
      </c>
      <c r="C233" s="493" t="s">
        <v>60</v>
      </c>
      <c r="D233" s="493">
        <v>46</v>
      </c>
      <c r="E233" s="492" t="s">
        <v>61</v>
      </c>
      <c r="F233" s="492" t="s">
        <v>2025</v>
      </c>
      <c r="G233" s="14"/>
      <c r="H233" s="14"/>
    </row>
    <row r="234" spans="1:8" ht="12.45" thickBot="1">
      <c r="A234" s="495">
        <v>25003</v>
      </c>
      <c r="B234" s="496" t="s">
        <v>2026</v>
      </c>
      <c r="C234" s="496" t="s">
        <v>678</v>
      </c>
      <c r="D234" s="496"/>
      <c r="E234" s="495">
        <v>91</v>
      </c>
      <c r="F234" s="495" t="s">
        <v>2027</v>
      </c>
      <c r="G234" s="14"/>
      <c r="H234" s="14"/>
    </row>
    <row r="235" spans="1:8" ht="12.45" thickBot="1">
      <c r="A235" s="495">
        <v>11006</v>
      </c>
      <c r="B235" s="496" t="s">
        <v>2028</v>
      </c>
      <c r="C235" s="496" t="s">
        <v>678</v>
      </c>
      <c r="D235" s="496"/>
      <c r="E235" s="495">
        <v>109</v>
      </c>
      <c r="F235" s="495" t="s">
        <v>2029</v>
      </c>
      <c r="G235" s="14"/>
      <c r="H235" s="14"/>
    </row>
    <row r="236" spans="1:8">
      <c r="A236" s="495">
        <v>15059</v>
      </c>
      <c r="B236" s="496" t="s">
        <v>2030</v>
      </c>
      <c r="C236" s="496" t="s">
        <v>678</v>
      </c>
      <c r="D236" s="496"/>
      <c r="E236" s="495">
        <v>206</v>
      </c>
      <c r="F236" s="495" t="s">
        <v>2031</v>
      </c>
      <c r="G236" s="14"/>
      <c r="H236" s="14"/>
    </row>
    <row r="237" spans="1:8" ht="12.45" thickBot="1">
      <c r="A237" s="485"/>
      <c r="B237" s="485"/>
      <c r="C237" s="485"/>
      <c r="D237" s="485"/>
      <c r="E237" s="485"/>
      <c r="F237" s="485"/>
      <c r="G237" s="14"/>
      <c r="H237" s="14"/>
    </row>
    <row r="238" spans="1:8" ht="22.75" thickBot="1">
      <c r="A238" s="492" t="s">
        <v>1708</v>
      </c>
      <c r="B238" s="494" t="s">
        <v>1709</v>
      </c>
      <c r="C238" s="493" t="s">
        <v>60</v>
      </c>
      <c r="D238" s="493">
        <v>47</v>
      </c>
      <c r="E238" s="492" t="s">
        <v>61</v>
      </c>
      <c r="F238" s="492" t="s">
        <v>2032</v>
      </c>
      <c r="G238" s="14"/>
      <c r="H238" s="14"/>
    </row>
    <row r="239" spans="1:8" ht="12.45" thickBot="1">
      <c r="A239" s="495">
        <v>19067</v>
      </c>
      <c r="B239" s="496" t="s">
        <v>2033</v>
      </c>
      <c r="C239" s="496" t="s">
        <v>175</v>
      </c>
      <c r="D239" s="496"/>
      <c r="E239" s="495">
        <v>219</v>
      </c>
      <c r="F239" s="495" t="s">
        <v>2034</v>
      </c>
      <c r="G239" s="14"/>
      <c r="H239" s="14"/>
    </row>
    <row r="240" spans="1:8" ht="12.45" thickBot="1">
      <c r="A240" s="495">
        <v>20565</v>
      </c>
      <c r="B240" s="496" t="s">
        <v>2035</v>
      </c>
      <c r="C240" s="496" t="s">
        <v>175</v>
      </c>
      <c r="D240" s="496"/>
      <c r="E240" s="495">
        <v>195</v>
      </c>
      <c r="F240" s="495" t="s">
        <v>2036</v>
      </c>
      <c r="G240" s="14"/>
      <c r="H240" s="14"/>
    </row>
    <row r="241" spans="1:8">
      <c r="A241" s="495">
        <v>19021</v>
      </c>
      <c r="B241" s="496" t="s">
        <v>2037</v>
      </c>
      <c r="C241" s="496" t="s">
        <v>1752</v>
      </c>
      <c r="D241" s="496"/>
      <c r="E241" s="495">
        <v>160</v>
      </c>
      <c r="F241" s="495" t="s">
        <v>2038</v>
      </c>
      <c r="G241" s="14"/>
      <c r="H241" s="14"/>
    </row>
    <row r="242" spans="1:8" ht="12.45" thickBot="1">
      <c r="A242" s="485"/>
      <c r="B242" s="485"/>
      <c r="C242" s="485"/>
      <c r="D242" s="485"/>
      <c r="E242" s="485"/>
      <c r="F242" s="485"/>
      <c r="G242" s="14"/>
      <c r="H242" s="14"/>
    </row>
    <row r="243" spans="1:8" ht="22.75" thickBot="1">
      <c r="A243" s="492" t="s">
        <v>1708</v>
      </c>
      <c r="B243" s="494" t="s">
        <v>1709</v>
      </c>
      <c r="C243" s="493" t="s">
        <v>60</v>
      </c>
      <c r="D243" s="493">
        <v>48</v>
      </c>
      <c r="E243" s="492" t="s">
        <v>61</v>
      </c>
      <c r="F243" s="492" t="s">
        <v>2039</v>
      </c>
      <c r="G243" s="14"/>
      <c r="H243" s="14"/>
    </row>
    <row r="244" spans="1:8" ht="12.45" thickBot="1">
      <c r="A244" s="495">
        <v>16075</v>
      </c>
      <c r="B244" s="496" t="s">
        <v>2040</v>
      </c>
      <c r="C244" s="496" t="s">
        <v>1973</v>
      </c>
      <c r="D244" s="496"/>
      <c r="E244" s="495">
        <v>140</v>
      </c>
      <c r="F244" s="495" t="s">
        <v>2041</v>
      </c>
      <c r="G244" s="14"/>
      <c r="H244" s="14"/>
    </row>
    <row r="245" spans="1:8" ht="12.45" thickBot="1">
      <c r="A245" s="495">
        <v>23222</v>
      </c>
      <c r="B245" s="496" t="s">
        <v>2042</v>
      </c>
      <c r="C245" s="496" t="s">
        <v>1973</v>
      </c>
      <c r="D245" s="496"/>
      <c r="E245" s="495">
        <v>305</v>
      </c>
      <c r="F245" s="495" t="s">
        <v>2043</v>
      </c>
      <c r="G245" s="14"/>
      <c r="H245" s="14"/>
    </row>
    <row r="246" spans="1:8">
      <c r="A246" s="495">
        <v>16082</v>
      </c>
      <c r="B246" s="496" t="s">
        <v>2044</v>
      </c>
      <c r="C246" s="496" t="s">
        <v>1973</v>
      </c>
      <c r="D246" s="496"/>
      <c r="E246" s="495">
        <v>135</v>
      </c>
      <c r="F246" s="495" t="s">
        <v>2045</v>
      </c>
      <c r="G246" s="14"/>
      <c r="H246" s="14"/>
    </row>
    <row r="247" spans="1:8" ht="12.45" thickBot="1">
      <c r="A247" s="485"/>
      <c r="B247" s="485"/>
      <c r="C247" s="485"/>
      <c r="D247" s="485"/>
      <c r="E247" s="485"/>
      <c r="F247" s="485"/>
      <c r="G247" s="14"/>
      <c r="H247" s="14"/>
    </row>
    <row r="248" spans="1:8" ht="22.75" thickBot="1">
      <c r="A248" s="492" t="s">
        <v>1708</v>
      </c>
      <c r="B248" s="494" t="s">
        <v>1709</v>
      </c>
      <c r="C248" s="493" t="s">
        <v>60</v>
      </c>
      <c r="D248" s="493">
        <v>49</v>
      </c>
      <c r="E248" s="492" t="s">
        <v>61</v>
      </c>
      <c r="F248" s="492" t="s">
        <v>2046</v>
      </c>
      <c r="G248" s="14"/>
      <c r="H248" s="14"/>
    </row>
    <row r="249" spans="1:8" ht="12.45" thickBot="1">
      <c r="A249" s="495">
        <v>14021</v>
      </c>
      <c r="B249" s="496" t="s">
        <v>2047</v>
      </c>
      <c r="C249" s="496" t="s">
        <v>510</v>
      </c>
      <c r="D249" s="496"/>
      <c r="E249" s="495">
        <v>268</v>
      </c>
      <c r="F249" s="495" t="s">
        <v>2048</v>
      </c>
      <c r="G249" s="14"/>
      <c r="H249" s="14"/>
    </row>
    <row r="250" spans="1:8" ht="12.45" thickBot="1">
      <c r="A250" s="495">
        <v>21036</v>
      </c>
      <c r="B250" s="496" t="s">
        <v>2049</v>
      </c>
      <c r="C250" s="496" t="s">
        <v>510</v>
      </c>
      <c r="D250" s="496"/>
      <c r="E250" s="495">
        <v>199</v>
      </c>
      <c r="F250" s="495" t="s">
        <v>2050</v>
      </c>
      <c r="G250" s="14"/>
      <c r="H250" s="14"/>
    </row>
    <row r="251" spans="1:8">
      <c r="A251" s="495">
        <v>21007</v>
      </c>
      <c r="B251" s="496" t="s">
        <v>2051</v>
      </c>
      <c r="C251" s="496" t="s">
        <v>768</v>
      </c>
      <c r="D251" s="496"/>
      <c r="E251" s="495">
        <v>235</v>
      </c>
      <c r="F251" s="495" t="s">
        <v>2052</v>
      </c>
      <c r="G251" s="14"/>
      <c r="H251" s="14"/>
    </row>
    <row r="252" spans="1:8" ht="12.45" thickBot="1">
      <c r="A252" s="485"/>
      <c r="B252" s="485"/>
      <c r="C252" s="485"/>
      <c r="D252" s="485"/>
      <c r="E252" s="485"/>
      <c r="F252" s="485"/>
      <c r="G252" s="14"/>
      <c r="H252" s="14"/>
    </row>
    <row r="253" spans="1:8" ht="22.75" thickBot="1">
      <c r="A253" s="492" t="s">
        <v>1708</v>
      </c>
      <c r="B253" s="494" t="s">
        <v>1709</v>
      </c>
      <c r="C253" s="493" t="s">
        <v>60</v>
      </c>
      <c r="D253" s="493">
        <v>50</v>
      </c>
      <c r="E253" s="492" t="s">
        <v>61</v>
      </c>
      <c r="F253" s="492" t="s">
        <v>2053</v>
      </c>
      <c r="G253" s="14"/>
      <c r="H253" s="14"/>
    </row>
    <row r="254" spans="1:8" ht="12.45" thickBot="1">
      <c r="A254" s="495">
        <v>18064</v>
      </c>
      <c r="B254" s="496" t="s">
        <v>2054</v>
      </c>
      <c r="C254" s="496" t="s">
        <v>510</v>
      </c>
      <c r="D254" s="496"/>
      <c r="E254" s="495">
        <v>174</v>
      </c>
      <c r="F254" s="495" t="s">
        <v>2055</v>
      </c>
      <c r="G254" s="14"/>
      <c r="H254" s="14"/>
    </row>
    <row r="255" spans="1:8" ht="12.45" thickBot="1">
      <c r="A255" s="495">
        <v>13055</v>
      </c>
      <c r="B255" s="496" t="s">
        <v>2056</v>
      </c>
      <c r="C255" s="496" t="s">
        <v>161</v>
      </c>
      <c r="D255" s="496"/>
      <c r="E255" s="495">
        <v>375</v>
      </c>
      <c r="F255" s="495" t="s">
        <v>2057</v>
      </c>
      <c r="G255" s="14"/>
      <c r="H255" s="14"/>
    </row>
    <row r="256" spans="1:8">
      <c r="A256" s="495">
        <v>17093</v>
      </c>
      <c r="B256" s="496" t="s">
        <v>2058</v>
      </c>
      <c r="C256" s="496" t="s">
        <v>504</v>
      </c>
      <c r="D256" s="496"/>
      <c r="E256" s="495">
        <v>119</v>
      </c>
      <c r="F256" s="495" t="s">
        <v>2059</v>
      </c>
      <c r="G256" s="14"/>
      <c r="H256" s="14"/>
    </row>
    <row r="257" spans="1:8" ht="12.45" thickBot="1">
      <c r="A257" s="485"/>
      <c r="B257" s="485"/>
      <c r="C257" s="485"/>
      <c r="D257" s="485"/>
      <c r="E257" s="485"/>
      <c r="F257" s="485"/>
      <c r="G257" s="14"/>
      <c r="H257" s="14"/>
    </row>
    <row r="258" spans="1:8" ht="22.75" thickBot="1">
      <c r="A258" s="492" t="s">
        <v>1708</v>
      </c>
      <c r="B258" s="494" t="s">
        <v>1709</v>
      </c>
      <c r="C258" s="493" t="s">
        <v>60</v>
      </c>
      <c r="D258" s="493">
        <v>51</v>
      </c>
      <c r="E258" s="492" t="s">
        <v>61</v>
      </c>
      <c r="F258" s="492" t="s">
        <v>2060</v>
      </c>
      <c r="G258" s="14"/>
      <c r="H258" s="14"/>
    </row>
    <row r="259" spans="1:8" ht="12.45" thickBot="1">
      <c r="A259" s="495">
        <v>24218</v>
      </c>
      <c r="B259" s="496" t="s">
        <v>2061</v>
      </c>
      <c r="C259" s="496" t="s">
        <v>242</v>
      </c>
      <c r="D259" s="496"/>
      <c r="E259" s="495">
        <v>129</v>
      </c>
      <c r="F259" s="495" t="s">
        <v>2062</v>
      </c>
      <c r="G259" s="14"/>
      <c r="H259" s="14"/>
    </row>
    <row r="260" spans="1:8" ht="12.45" thickBot="1">
      <c r="A260" s="495">
        <v>96108</v>
      </c>
      <c r="B260" s="496" t="s">
        <v>2063</v>
      </c>
      <c r="C260" s="496" t="s">
        <v>153</v>
      </c>
      <c r="D260" s="496"/>
      <c r="E260" s="495">
        <v>467</v>
      </c>
      <c r="F260" s="495" t="s">
        <v>2064</v>
      </c>
      <c r="G260" s="14"/>
      <c r="H260" s="14"/>
    </row>
    <row r="261" spans="1:8">
      <c r="A261" s="495">
        <v>16060</v>
      </c>
      <c r="B261" s="496" t="s">
        <v>2065</v>
      </c>
      <c r="C261" s="496" t="s">
        <v>841</v>
      </c>
      <c r="D261" s="496"/>
      <c r="E261" s="495">
        <v>260</v>
      </c>
      <c r="F261" s="495" t="s">
        <v>2066</v>
      </c>
      <c r="G261" s="14"/>
      <c r="H261" s="14"/>
    </row>
    <row r="262" spans="1:8" ht="12.45" thickBot="1">
      <c r="A262" s="485"/>
      <c r="B262" s="485"/>
      <c r="C262" s="485"/>
      <c r="D262" s="485"/>
      <c r="E262" s="485"/>
      <c r="F262" s="485"/>
      <c r="G262" s="14"/>
      <c r="H262" s="14"/>
    </row>
    <row r="263" spans="1:8" ht="22.75" thickBot="1">
      <c r="A263" s="492" t="s">
        <v>1708</v>
      </c>
      <c r="B263" s="494" t="s">
        <v>1709</v>
      </c>
      <c r="C263" s="493" t="s">
        <v>60</v>
      </c>
      <c r="D263" s="493">
        <v>52</v>
      </c>
      <c r="E263" s="492" t="s">
        <v>61</v>
      </c>
      <c r="F263" s="492" t="s">
        <v>2067</v>
      </c>
      <c r="G263" s="14"/>
      <c r="H263" s="14"/>
    </row>
    <row r="264" spans="1:8" ht="12.45" thickBot="1">
      <c r="A264" s="495">
        <v>21004</v>
      </c>
      <c r="B264" s="496" t="s">
        <v>2068</v>
      </c>
      <c r="C264" s="496" t="s">
        <v>198</v>
      </c>
      <c r="D264" s="496"/>
      <c r="E264" s="495">
        <v>155</v>
      </c>
      <c r="F264" s="495" t="s">
        <v>2036</v>
      </c>
      <c r="G264" s="14"/>
      <c r="H264" s="14"/>
    </row>
    <row r="265" spans="1:8" ht="12.45" thickBot="1">
      <c r="A265" s="495">
        <v>20702</v>
      </c>
      <c r="B265" s="496" t="s">
        <v>2069</v>
      </c>
      <c r="C265" s="496" t="s">
        <v>198</v>
      </c>
      <c r="D265" s="496"/>
      <c r="E265" s="495">
        <v>283</v>
      </c>
      <c r="F265" s="495" t="s">
        <v>2057</v>
      </c>
      <c r="G265" s="14"/>
      <c r="H265" s="14"/>
    </row>
    <row r="266" spans="1:8">
      <c r="A266" s="495">
        <v>20503</v>
      </c>
      <c r="B266" s="496" t="s">
        <v>2070</v>
      </c>
      <c r="C266" s="496" t="s">
        <v>198</v>
      </c>
      <c r="D266" s="496"/>
      <c r="E266" s="495">
        <v>242</v>
      </c>
      <c r="F266" s="495" t="s">
        <v>2071</v>
      </c>
      <c r="G266" s="14"/>
      <c r="H266" s="14"/>
    </row>
    <row r="267" spans="1:8" ht="12.45" thickBot="1">
      <c r="A267" s="485"/>
      <c r="B267" s="485"/>
      <c r="C267" s="485"/>
      <c r="D267" s="485"/>
      <c r="E267" s="485"/>
      <c r="F267" s="485"/>
      <c r="G267" s="14"/>
      <c r="H267" s="14"/>
    </row>
    <row r="268" spans="1:8" ht="22.75" thickBot="1">
      <c r="A268" s="492" t="s">
        <v>1708</v>
      </c>
      <c r="B268" s="494" t="s">
        <v>1709</v>
      </c>
      <c r="C268" s="493" t="s">
        <v>60</v>
      </c>
      <c r="D268" s="493">
        <v>53</v>
      </c>
      <c r="E268" s="492" t="s">
        <v>61</v>
      </c>
      <c r="F268" s="492" t="s">
        <v>2072</v>
      </c>
      <c r="G268" s="14"/>
      <c r="H268" s="14"/>
    </row>
    <row r="269" spans="1:8" ht="12.45" thickBot="1">
      <c r="A269" s="495">
        <v>23243</v>
      </c>
      <c r="B269" s="496" t="s">
        <v>2073</v>
      </c>
      <c r="C269" s="496" t="s">
        <v>164</v>
      </c>
      <c r="D269" s="496"/>
      <c r="E269" s="495">
        <v>263</v>
      </c>
      <c r="F269" s="495" t="s">
        <v>2043</v>
      </c>
      <c r="G269" s="14"/>
      <c r="H269" s="14"/>
    </row>
    <row r="270" spans="1:8" ht="12.45" thickBot="1">
      <c r="A270" s="495">
        <v>14098</v>
      </c>
      <c r="B270" s="496" t="s">
        <v>2074</v>
      </c>
      <c r="C270" s="496" t="s">
        <v>164</v>
      </c>
      <c r="D270" s="496"/>
      <c r="E270" s="495">
        <v>228</v>
      </c>
      <c r="F270" s="495" t="s">
        <v>2075</v>
      </c>
      <c r="G270" s="14"/>
      <c r="H270" s="14"/>
    </row>
    <row r="271" spans="1:8">
      <c r="A271" s="495">
        <v>29009</v>
      </c>
      <c r="B271" s="496" t="s">
        <v>2076</v>
      </c>
      <c r="C271" s="496" t="s">
        <v>164</v>
      </c>
      <c r="D271" s="496"/>
      <c r="E271" s="495">
        <v>230</v>
      </c>
      <c r="F271" s="495" t="s">
        <v>2077</v>
      </c>
      <c r="G271" s="14"/>
      <c r="H271" s="14"/>
    </row>
    <row r="272" spans="1:8" ht="12.45" thickBot="1">
      <c r="A272" s="485"/>
      <c r="B272" s="485"/>
      <c r="C272" s="485"/>
      <c r="D272" s="485"/>
      <c r="E272" s="485"/>
      <c r="F272" s="485"/>
      <c r="G272" s="14"/>
      <c r="H272" s="14"/>
    </row>
    <row r="273" spans="1:8" ht="22.75" thickBot="1">
      <c r="A273" s="492" t="s">
        <v>1708</v>
      </c>
      <c r="B273" s="494" t="s">
        <v>1709</v>
      </c>
      <c r="C273" s="493" t="s">
        <v>60</v>
      </c>
      <c r="D273" s="493">
        <v>54</v>
      </c>
      <c r="E273" s="492" t="s">
        <v>61</v>
      </c>
      <c r="F273" s="492" t="s">
        <v>2078</v>
      </c>
      <c r="G273" s="14"/>
      <c r="H273" s="14"/>
    </row>
    <row r="274" spans="1:8" ht="12.45" thickBot="1">
      <c r="A274" s="495">
        <v>20542</v>
      </c>
      <c r="B274" s="496" t="s">
        <v>2079</v>
      </c>
      <c r="C274" s="496" t="s">
        <v>792</v>
      </c>
      <c r="D274" s="496"/>
      <c r="E274" s="495">
        <v>292</v>
      </c>
      <c r="F274" s="495" t="s">
        <v>2080</v>
      </c>
      <c r="G274" s="14"/>
      <c r="H274" s="14"/>
    </row>
    <row r="275" spans="1:8" ht="12.45" thickBot="1">
      <c r="A275" s="495">
        <v>22168</v>
      </c>
      <c r="B275" s="496" t="s">
        <v>2081</v>
      </c>
      <c r="C275" s="496" t="s">
        <v>792</v>
      </c>
      <c r="D275" s="496"/>
      <c r="E275" s="495">
        <v>294</v>
      </c>
      <c r="F275" s="495" t="s">
        <v>2082</v>
      </c>
      <c r="G275" s="14"/>
      <c r="H275" s="14"/>
    </row>
    <row r="276" spans="1:8">
      <c r="A276" s="495">
        <v>24536</v>
      </c>
      <c r="B276" s="496" t="s">
        <v>2083</v>
      </c>
      <c r="C276" s="496" t="s">
        <v>792</v>
      </c>
      <c r="D276" s="496"/>
      <c r="E276" s="495">
        <v>590</v>
      </c>
      <c r="F276" s="495" t="s">
        <v>2084</v>
      </c>
      <c r="G276" s="14"/>
      <c r="H276" s="14"/>
    </row>
    <row r="277" spans="1:8" ht="12.45" thickBot="1">
      <c r="A277" s="485"/>
      <c r="B277" s="485"/>
      <c r="C277" s="485"/>
      <c r="D277" s="485"/>
      <c r="E277" s="485"/>
      <c r="F277" s="485"/>
      <c r="G277" s="14"/>
      <c r="H277" s="14"/>
    </row>
    <row r="278" spans="1:8" ht="22.75" thickBot="1">
      <c r="A278" s="492" t="s">
        <v>1708</v>
      </c>
      <c r="B278" s="494" t="s">
        <v>1709</v>
      </c>
      <c r="C278" s="493" t="s">
        <v>60</v>
      </c>
      <c r="D278" s="493">
        <v>55</v>
      </c>
      <c r="E278" s="492" t="s">
        <v>61</v>
      </c>
      <c r="F278" s="492" t="s">
        <v>2085</v>
      </c>
      <c r="G278" s="14"/>
      <c r="H278" s="14"/>
    </row>
    <row r="279" spans="1:8" ht="12.45" thickBot="1">
      <c r="A279" s="495">
        <v>18141</v>
      </c>
      <c r="B279" s="496" t="s">
        <v>2086</v>
      </c>
      <c r="C279" s="496" t="s">
        <v>2087</v>
      </c>
      <c r="D279" s="496"/>
      <c r="E279" s="495">
        <v>317</v>
      </c>
      <c r="F279" s="495" t="s">
        <v>2088</v>
      </c>
      <c r="G279" s="14"/>
      <c r="H279" s="14"/>
    </row>
    <row r="280" spans="1:8" ht="12.45" thickBot="1">
      <c r="A280" s="495">
        <v>98304</v>
      </c>
      <c r="B280" s="496" t="s">
        <v>2089</v>
      </c>
      <c r="C280" s="496" t="s">
        <v>175</v>
      </c>
      <c r="D280" s="496"/>
      <c r="E280" s="495">
        <v>312</v>
      </c>
      <c r="F280" s="495" t="s">
        <v>2090</v>
      </c>
      <c r="G280" s="14"/>
      <c r="H280" s="14"/>
    </row>
    <row r="281" spans="1:8">
      <c r="A281" s="495">
        <v>21063</v>
      </c>
      <c r="B281" s="496" t="s">
        <v>2091</v>
      </c>
      <c r="C281" s="496" t="s">
        <v>2087</v>
      </c>
      <c r="D281" s="496"/>
      <c r="E281" s="495">
        <v>421</v>
      </c>
      <c r="F281" s="495" t="s">
        <v>2092</v>
      </c>
      <c r="G281" s="14"/>
      <c r="H281" s="14"/>
    </row>
    <row r="282" spans="1:8" ht="12.45" thickBot="1">
      <c r="A282" s="485"/>
      <c r="B282" s="485"/>
      <c r="C282" s="485"/>
      <c r="D282" s="485"/>
      <c r="E282" s="485"/>
      <c r="F282" s="485"/>
      <c r="G282" s="14"/>
      <c r="H282" s="14"/>
    </row>
    <row r="283" spans="1:8" ht="22.75" thickBot="1">
      <c r="A283" s="492" t="s">
        <v>1708</v>
      </c>
      <c r="B283" s="494" t="s">
        <v>1709</v>
      </c>
      <c r="C283" s="493" t="s">
        <v>60</v>
      </c>
      <c r="D283" s="493">
        <v>56</v>
      </c>
      <c r="E283" s="492" t="s">
        <v>61</v>
      </c>
      <c r="F283" s="492" t="s">
        <v>2093</v>
      </c>
      <c r="G283" s="14"/>
      <c r="H283" s="14"/>
    </row>
    <row r="284" spans="1:8" ht="12.45" thickBot="1">
      <c r="A284" s="495">
        <v>20600</v>
      </c>
      <c r="B284" s="496" t="s">
        <v>2094</v>
      </c>
      <c r="C284" s="496" t="s">
        <v>597</v>
      </c>
      <c r="D284" s="496"/>
      <c r="E284" s="495">
        <v>267</v>
      </c>
      <c r="F284" s="495" t="s">
        <v>2095</v>
      </c>
      <c r="G284" s="14"/>
      <c r="H284" s="14"/>
    </row>
    <row r="285" spans="1:8" ht="12.45" thickBot="1">
      <c r="A285" s="495">
        <v>22127</v>
      </c>
      <c r="B285" s="496" t="s">
        <v>2096</v>
      </c>
      <c r="C285" s="496" t="s">
        <v>597</v>
      </c>
      <c r="D285" s="496"/>
      <c r="E285" s="495">
        <v>308</v>
      </c>
      <c r="F285" s="495" t="s">
        <v>1898</v>
      </c>
      <c r="G285" s="14"/>
      <c r="H285" s="14"/>
    </row>
    <row r="286" spans="1:8">
      <c r="A286" s="495">
        <v>20583</v>
      </c>
      <c r="B286" s="496" t="s">
        <v>2097</v>
      </c>
      <c r="C286" s="496" t="s">
        <v>597</v>
      </c>
      <c r="D286" s="496"/>
      <c r="E286" s="495">
        <v>487</v>
      </c>
      <c r="F286" s="495" t="s">
        <v>2098</v>
      </c>
      <c r="G286" s="14"/>
      <c r="H286" s="14"/>
    </row>
    <row r="287" spans="1:8" ht="12.45" thickBot="1">
      <c r="A287" s="485"/>
      <c r="B287" s="485"/>
      <c r="C287" s="485"/>
      <c r="D287" s="485"/>
      <c r="E287" s="485"/>
      <c r="F287" s="485"/>
      <c r="G287" s="14"/>
      <c r="H287" s="14"/>
    </row>
    <row r="288" spans="1:8" ht="22.75" thickBot="1">
      <c r="A288" s="492" t="s">
        <v>1708</v>
      </c>
      <c r="B288" s="494" t="s">
        <v>1709</v>
      </c>
      <c r="C288" s="493" t="s">
        <v>60</v>
      </c>
      <c r="D288" s="493">
        <v>57</v>
      </c>
      <c r="E288" s="492" t="s">
        <v>61</v>
      </c>
      <c r="F288" s="492" t="s">
        <v>2099</v>
      </c>
      <c r="G288" s="14"/>
      <c r="H288" s="14"/>
    </row>
    <row r="289" spans="1:8" ht="12.45" thickBot="1">
      <c r="A289" s="495">
        <v>24534</v>
      </c>
      <c r="B289" s="496" t="s">
        <v>2100</v>
      </c>
      <c r="C289" s="496" t="s">
        <v>597</v>
      </c>
      <c r="D289" s="496"/>
      <c r="E289" s="495">
        <v>477</v>
      </c>
      <c r="F289" s="495" t="s">
        <v>2101</v>
      </c>
      <c r="G289" s="14"/>
      <c r="H289" s="14"/>
    </row>
    <row r="290" spans="1:8" ht="12.45" thickBot="1">
      <c r="A290" s="495">
        <v>23258</v>
      </c>
      <c r="B290" s="496" t="s">
        <v>2102</v>
      </c>
      <c r="C290" s="496" t="s">
        <v>597</v>
      </c>
      <c r="D290" s="496"/>
      <c r="E290" s="495">
        <v>396</v>
      </c>
      <c r="F290" s="495" t="s">
        <v>2103</v>
      </c>
      <c r="G290" s="14"/>
      <c r="H290" s="14"/>
    </row>
    <row r="291" spans="1:8">
      <c r="A291" s="495">
        <v>24547</v>
      </c>
      <c r="B291" s="496" t="s">
        <v>2104</v>
      </c>
      <c r="C291" s="496" t="s">
        <v>597</v>
      </c>
      <c r="D291" s="496"/>
      <c r="E291" s="495">
        <v>718</v>
      </c>
      <c r="F291" s="495" t="s">
        <v>2105</v>
      </c>
      <c r="G291" s="14"/>
      <c r="H291" s="14"/>
    </row>
    <row r="292" spans="1:8" ht="12.45" thickBot="1">
      <c r="A292" s="485"/>
      <c r="B292" s="485"/>
      <c r="C292" s="485"/>
      <c r="D292" s="485"/>
      <c r="E292" s="485"/>
      <c r="F292" s="485"/>
      <c r="G292" s="14"/>
      <c r="H292" s="14"/>
    </row>
    <row r="293" spans="1:8" ht="22.75" thickBot="1">
      <c r="A293" s="492" t="s">
        <v>1708</v>
      </c>
      <c r="B293" s="494" t="s">
        <v>1709</v>
      </c>
      <c r="C293" s="493" t="s">
        <v>60</v>
      </c>
      <c r="D293" s="493">
        <v>58</v>
      </c>
      <c r="E293" s="492" t="s">
        <v>61</v>
      </c>
      <c r="F293" s="492" t="s">
        <v>2106</v>
      </c>
      <c r="G293" s="14"/>
      <c r="H293" s="14"/>
    </row>
    <row r="294" spans="1:8" ht="12.45" thickBot="1">
      <c r="A294" s="495">
        <v>22124</v>
      </c>
      <c r="B294" s="496" t="s">
        <v>2107</v>
      </c>
      <c r="C294" s="496" t="s">
        <v>597</v>
      </c>
      <c r="D294" s="496"/>
      <c r="E294" s="495">
        <v>470</v>
      </c>
      <c r="F294" s="495" t="s">
        <v>2108</v>
      </c>
      <c r="G294" s="14"/>
      <c r="H294" s="14"/>
    </row>
    <row r="295" spans="1:8" ht="12.45" thickBot="1">
      <c r="A295" s="495">
        <v>24517</v>
      </c>
      <c r="B295" s="496" t="s">
        <v>2109</v>
      </c>
      <c r="C295" s="496" t="s">
        <v>597</v>
      </c>
      <c r="D295" s="496"/>
      <c r="E295" s="495">
        <v>422</v>
      </c>
      <c r="F295" s="495" t="s">
        <v>2110</v>
      </c>
      <c r="G295" s="14"/>
      <c r="H295" s="14"/>
    </row>
    <row r="296" spans="1:8">
      <c r="A296" s="495">
        <v>20592</v>
      </c>
      <c r="B296" s="496" t="s">
        <v>2111</v>
      </c>
      <c r="C296" s="496" t="s">
        <v>597</v>
      </c>
      <c r="D296" s="496"/>
      <c r="E296" s="495">
        <v>710</v>
      </c>
      <c r="F296" s="495" t="s">
        <v>2105</v>
      </c>
      <c r="G296" s="14"/>
      <c r="H296" s="14"/>
    </row>
    <row r="297" spans="1:8" ht="12.45" thickBot="1">
      <c r="A297" s="485"/>
      <c r="B297" s="485"/>
      <c r="C297" s="485"/>
      <c r="D297" s="485"/>
      <c r="E297" s="485"/>
      <c r="F297" s="485"/>
      <c r="G297" s="14"/>
      <c r="H297" s="14"/>
    </row>
    <row r="298" spans="1:8" ht="22.75" thickBot="1">
      <c r="A298" s="492" t="s">
        <v>1708</v>
      </c>
      <c r="B298" s="494" t="s">
        <v>1709</v>
      </c>
      <c r="C298" s="493" t="s">
        <v>60</v>
      </c>
      <c r="D298" s="493">
        <v>59</v>
      </c>
      <c r="E298" s="492" t="s">
        <v>61</v>
      </c>
      <c r="F298" s="492" t="s">
        <v>2112</v>
      </c>
      <c r="G298" s="14"/>
      <c r="H298" s="14"/>
    </row>
    <row r="299" spans="1:8" ht="12.45" thickBot="1">
      <c r="A299" s="495">
        <v>22128</v>
      </c>
      <c r="B299" s="496" t="s">
        <v>2113</v>
      </c>
      <c r="C299" s="496" t="s">
        <v>597</v>
      </c>
      <c r="D299" s="496"/>
      <c r="E299" s="495">
        <v>529</v>
      </c>
      <c r="F299" s="495" t="s">
        <v>2114</v>
      </c>
      <c r="G299" s="14"/>
      <c r="H299" s="14"/>
    </row>
    <row r="300" spans="1:8" ht="12.45" thickBot="1">
      <c r="A300" s="495">
        <v>22129</v>
      </c>
      <c r="B300" s="496" t="s">
        <v>2115</v>
      </c>
      <c r="C300" s="496" t="s">
        <v>597</v>
      </c>
      <c r="D300" s="496"/>
      <c r="E300" s="495">
        <v>690</v>
      </c>
      <c r="F300" s="495" t="s">
        <v>2105</v>
      </c>
      <c r="G300" s="14"/>
      <c r="H300" s="14"/>
    </row>
    <row r="301" spans="1:8">
      <c r="A301" s="495">
        <v>20601</v>
      </c>
      <c r="B301" s="496" t="s">
        <v>2116</v>
      </c>
      <c r="C301" s="496" t="s">
        <v>597</v>
      </c>
      <c r="D301" s="496"/>
      <c r="E301" s="495">
        <v>457</v>
      </c>
      <c r="F301" s="495" t="s">
        <v>2117</v>
      </c>
      <c r="G301" s="14"/>
      <c r="H301" s="14"/>
    </row>
    <row r="302" spans="1:8">
      <c r="A302" s="485"/>
      <c r="B302" s="485"/>
      <c r="C302" s="485"/>
      <c r="D302" s="485"/>
      <c r="E302" s="485"/>
      <c r="F302" s="485"/>
      <c r="G302" s="14"/>
      <c r="H302" s="14"/>
    </row>
    <row r="303" spans="1:8" ht="13.3">
      <c r="A303" s="355"/>
      <c r="B303" s="355"/>
      <c r="C303" s="355"/>
      <c r="D303" s="358"/>
      <c r="E303" s="466"/>
      <c r="F303" s="466"/>
      <c r="G303" s="14"/>
      <c r="H303" s="14"/>
    </row>
    <row r="304" spans="1:8" ht="12.9">
      <c r="A304" s="356"/>
      <c r="B304" s="364"/>
      <c r="C304" s="356"/>
      <c r="D304" s="357"/>
      <c r="E304" s="467"/>
      <c r="F304" s="467"/>
      <c r="G304" s="14"/>
      <c r="H304" s="14"/>
    </row>
    <row r="305" spans="1:8" ht="12.9">
      <c r="A305" s="356"/>
      <c r="B305" s="364"/>
      <c r="C305" s="356"/>
      <c r="D305" s="357"/>
      <c r="E305" s="467"/>
      <c r="F305" s="467"/>
      <c r="G305" s="14"/>
      <c r="H305" s="14"/>
    </row>
    <row r="306" spans="1:8" ht="12.9">
      <c r="A306" s="356"/>
      <c r="B306" s="364"/>
      <c r="C306" s="356"/>
      <c r="D306" s="357"/>
      <c r="E306" s="467"/>
      <c r="F306" s="467"/>
      <c r="G306" s="14"/>
      <c r="H306" s="14"/>
    </row>
    <row r="307" spans="1:8" ht="12.9">
      <c r="A307" s="356"/>
      <c r="B307" s="364"/>
      <c r="C307" s="356"/>
      <c r="D307" s="357"/>
      <c r="E307" s="467"/>
      <c r="F307" s="467"/>
      <c r="G307" s="14"/>
      <c r="H307" s="14"/>
    </row>
    <row r="308" spans="1:8" ht="13.3">
      <c r="A308" s="355"/>
      <c r="B308" s="355"/>
      <c r="C308" s="355"/>
      <c r="D308" s="358"/>
      <c r="E308" s="466"/>
      <c r="F308" s="466"/>
      <c r="G308" s="14"/>
      <c r="H308" s="14"/>
    </row>
    <row r="309" spans="1:8" ht="12.9">
      <c r="A309" s="356"/>
      <c r="B309" s="364"/>
      <c r="C309" s="356"/>
      <c r="D309" s="357"/>
      <c r="E309" s="467"/>
      <c r="F309" s="467"/>
      <c r="G309" s="14"/>
      <c r="H309" s="14"/>
    </row>
    <row r="310" spans="1:8" ht="12.9">
      <c r="A310" s="356"/>
      <c r="B310" s="364"/>
      <c r="C310" s="356"/>
      <c r="D310" s="357"/>
      <c r="E310" s="467"/>
      <c r="F310" s="467"/>
      <c r="G310" s="14"/>
      <c r="H310" s="14"/>
    </row>
    <row r="311" spans="1:8" ht="12.9">
      <c r="A311" s="356"/>
      <c r="B311" s="364"/>
      <c r="C311" s="356"/>
      <c r="D311" s="357"/>
      <c r="E311" s="467"/>
      <c r="F311" s="467"/>
      <c r="G311" s="14"/>
      <c r="H311" s="14"/>
    </row>
    <row r="312" spans="1:8" ht="12.9">
      <c r="A312" s="356"/>
      <c r="B312" s="364"/>
      <c r="C312" s="356"/>
      <c r="D312" s="357"/>
      <c r="E312" s="467"/>
      <c r="F312" s="467"/>
      <c r="G312" s="14"/>
      <c r="H312" s="14"/>
    </row>
    <row r="313" spans="1:8" ht="13.3">
      <c r="A313" s="355"/>
      <c r="B313" s="355"/>
      <c r="C313" s="355"/>
      <c r="D313" s="358"/>
      <c r="E313" s="466"/>
      <c r="F313" s="466"/>
      <c r="G313" s="14"/>
      <c r="H313" s="14"/>
    </row>
    <row r="314" spans="1:8" ht="12.9">
      <c r="A314" s="356"/>
      <c r="B314" s="364"/>
      <c r="C314" s="356"/>
      <c r="D314" s="357"/>
      <c r="E314" s="467"/>
      <c r="F314" s="467"/>
      <c r="G314" s="14"/>
      <c r="H314" s="14"/>
    </row>
    <row r="315" spans="1:8" ht="12.9">
      <c r="A315" s="356"/>
      <c r="B315" s="364"/>
      <c r="C315" s="356"/>
      <c r="D315" s="357"/>
      <c r="E315" s="467"/>
      <c r="F315" s="467"/>
      <c r="G315" s="14"/>
      <c r="H315" s="14"/>
    </row>
    <row r="316" spans="1:8" ht="12.9">
      <c r="A316" s="356"/>
      <c r="B316" s="364"/>
      <c r="C316" s="356"/>
      <c r="D316" s="357"/>
      <c r="E316" s="467"/>
      <c r="F316" s="467"/>
      <c r="G316" s="14"/>
      <c r="H316" s="14"/>
    </row>
    <row r="317" spans="1:8" ht="12.9">
      <c r="A317" s="356"/>
      <c r="B317" s="364"/>
      <c r="C317" s="356"/>
      <c r="D317" s="357"/>
      <c r="E317" s="467"/>
      <c r="F317" s="467"/>
      <c r="G317" s="14"/>
      <c r="H317" s="14"/>
    </row>
    <row r="318" spans="1:8" ht="13.3">
      <c r="A318" s="355"/>
      <c r="B318" s="355"/>
      <c r="C318" s="355"/>
      <c r="D318" s="358"/>
      <c r="E318" s="466"/>
      <c r="F318" s="466"/>
      <c r="G318" s="14"/>
      <c r="H318" s="14"/>
    </row>
    <row r="319" spans="1:8" ht="12.9">
      <c r="A319" s="356"/>
      <c r="B319" s="364"/>
      <c r="C319" s="356"/>
      <c r="D319" s="357"/>
      <c r="E319" s="467"/>
      <c r="F319" s="467"/>
      <c r="G319" s="14"/>
      <c r="H319" s="14"/>
    </row>
    <row r="320" spans="1:8" ht="12.9">
      <c r="A320" s="356"/>
      <c r="B320" s="364"/>
      <c r="C320" s="356"/>
      <c r="D320" s="357"/>
      <c r="E320" s="467"/>
      <c r="F320" s="467"/>
      <c r="G320" s="14"/>
      <c r="H320" s="14"/>
    </row>
    <row r="321" spans="1:8" ht="12.9">
      <c r="A321" s="356"/>
      <c r="B321" s="364"/>
      <c r="C321" s="356"/>
      <c r="D321" s="357"/>
      <c r="E321" s="467"/>
      <c r="F321" s="467"/>
      <c r="G321" s="14"/>
      <c r="H321" s="14"/>
    </row>
    <row r="322" spans="1:8" ht="12.9">
      <c r="A322" s="356"/>
      <c r="B322" s="364"/>
      <c r="C322" s="356"/>
      <c r="D322" s="357"/>
      <c r="E322" s="467"/>
      <c r="F322" s="467"/>
      <c r="G322" s="14"/>
      <c r="H322" s="14"/>
    </row>
    <row r="323" spans="1:8" ht="13.3">
      <c r="A323" s="355"/>
      <c r="B323" s="355"/>
      <c r="C323" s="355"/>
      <c r="D323" s="358"/>
      <c r="E323" s="466"/>
      <c r="F323" s="466"/>
      <c r="G323" s="14"/>
      <c r="H323" s="14"/>
    </row>
    <row r="324" spans="1:8" ht="12.9">
      <c r="A324" s="356"/>
      <c r="B324" s="364"/>
      <c r="C324" s="356"/>
      <c r="D324" s="357"/>
      <c r="E324" s="467"/>
      <c r="F324" s="467"/>
      <c r="G324" s="14"/>
      <c r="H324" s="14"/>
    </row>
    <row r="325" spans="1:8" ht="12.9">
      <c r="A325" s="356"/>
      <c r="B325" s="364"/>
      <c r="C325" s="356"/>
      <c r="D325" s="357"/>
      <c r="E325" s="467"/>
      <c r="F325" s="467"/>
      <c r="G325" s="14"/>
      <c r="H325" s="14"/>
    </row>
    <row r="326" spans="1:8" ht="12.9">
      <c r="A326" s="356"/>
      <c r="B326" s="364"/>
      <c r="C326" s="356"/>
      <c r="D326" s="357"/>
      <c r="E326" s="467"/>
      <c r="F326" s="467"/>
      <c r="G326" s="14"/>
      <c r="H326" s="14"/>
    </row>
    <row r="327" spans="1:8" ht="12.9">
      <c r="A327" s="356"/>
      <c r="B327" s="364"/>
      <c r="C327" s="356"/>
      <c r="D327" s="357"/>
      <c r="E327" s="467"/>
      <c r="F327" s="467"/>
      <c r="G327" s="14"/>
      <c r="H327" s="14"/>
    </row>
    <row r="328" spans="1:8" ht="13.3">
      <c r="A328" s="355"/>
      <c r="B328" s="355"/>
      <c r="C328" s="355"/>
      <c r="D328" s="358"/>
      <c r="E328" s="466"/>
      <c r="F328" s="466"/>
      <c r="G328" s="14"/>
      <c r="H328" s="14"/>
    </row>
    <row r="329" spans="1:8" ht="12.9">
      <c r="A329" s="356"/>
      <c r="B329" s="364"/>
      <c r="C329" s="356"/>
      <c r="D329" s="357"/>
      <c r="E329" s="467"/>
      <c r="F329" s="467"/>
      <c r="G329" s="14"/>
      <c r="H329" s="14"/>
    </row>
    <row r="330" spans="1:8" ht="12.9">
      <c r="A330" s="356"/>
      <c r="B330" s="364"/>
      <c r="C330" s="356"/>
      <c r="D330" s="357"/>
      <c r="E330" s="467"/>
      <c r="F330" s="467"/>
      <c r="G330" s="14"/>
      <c r="H330" s="14"/>
    </row>
    <row r="331" spans="1:8" ht="12.9">
      <c r="A331" s="356"/>
      <c r="B331" s="364"/>
      <c r="C331" s="356"/>
      <c r="D331" s="357"/>
      <c r="E331" s="467"/>
      <c r="F331" s="467"/>
      <c r="G331" s="14"/>
      <c r="H331" s="14"/>
    </row>
    <row r="332" spans="1:8" ht="12.9">
      <c r="A332" s="356"/>
      <c r="B332" s="364"/>
      <c r="C332" s="356"/>
      <c r="D332" s="357"/>
      <c r="E332" s="467"/>
      <c r="F332" s="467"/>
      <c r="G332" s="14"/>
      <c r="H332" s="14"/>
    </row>
    <row r="333" spans="1:8" ht="13.3">
      <c r="A333" s="355"/>
      <c r="B333" s="355"/>
      <c r="C333" s="355"/>
      <c r="D333" s="358"/>
      <c r="E333" s="466"/>
      <c r="F333" s="466"/>
      <c r="G333" s="14"/>
      <c r="H333" s="14"/>
    </row>
    <row r="334" spans="1:8" ht="12.9">
      <c r="A334" s="356"/>
      <c r="B334" s="364"/>
      <c r="C334" s="356"/>
      <c r="D334" s="357"/>
      <c r="E334" s="467"/>
      <c r="F334" s="467"/>
      <c r="G334" s="14"/>
      <c r="H334" s="14"/>
    </row>
    <row r="335" spans="1:8" ht="12.9">
      <c r="A335" s="356"/>
      <c r="B335" s="364"/>
      <c r="C335" s="356"/>
      <c r="D335" s="357"/>
      <c r="E335" s="467"/>
      <c r="F335" s="467"/>
      <c r="G335" s="14"/>
      <c r="H335" s="14"/>
    </row>
    <row r="336" spans="1:8" ht="12.9">
      <c r="A336" s="356"/>
      <c r="B336" s="364"/>
      <c r="C336" s="356"/>
      <c r="D336" s="357"/>
      <c r="E336" s="467"/>
      <c r="F336" s="467"/>
      <c r="G336" s="14"/>
      <c r="H336" s="14"/>
    </row>
    <row r="337" spans="1:8" ht="12.9">
      <c r="A337" s="356"/>
      <c r="B337" s="364"/>
      <c r="C337" s="356"/>
      <c r="D337" s="357"/>
      <c r="E337" s="467"/>
      <c r="F337" s="467"/>
      <c r="G337" s="14"/>
      <c r="H337" s="14"/>
    </row>
    <row r="338" spans="1:8" ht="13.3">
      <c r="A338" s="355"/>
      <c r="B338" s="355"/>
      <c r="C338" s="355"/>
      <c r="D338" s="358"/>
      <c r="E338" s="466"/>
      <c r="F338" s="466"/>
      <c r="G338" s="14"/>
      <c r="H338" s="14"/>
    </row>
    <row r="339" spans="1:8" ht="12.9">
      <c r="A339" s="356"/>
      <c r="B339" s="364"/>
      <c r="C339" s="356"/>
      <c r="D339" s="357"/>
      <c r="E339" s="467"/>
      <c r="F339" s="467"/>
      <c r="G339" s="14"/>
      <c r="H339" s="14"/>
    </row>
    <row r="340" spans="1:8" ht="12.9">
      <c r="A340" s="356"/>
      <c r="B340" s="364"/>
      <c r="C340" s="356"/>
      <c r="D340" s="357"/>
      <c r="E340" s="467"/>
      <c r="F340" s="467"/>
      <c r="G340" s="14"/>
      <c r="H340" s="14"/>
    </row>
    <row r="341" spans="1:8" ht="12.9">
      <c r="A341" s="356"/>
      <c r="B341" s="364"/>
      <c r="C341" s="356"/>
      <c r="D341" s="357"/>
      <c r="E341" s="467"/>
      <c r="F341" s="467"/>
      <c r="G341" s="14"/>
      <c r="H341" s="14"/>
    </row>
    <row r="342" spans="1:8" ht="12.9">
      <c r="A342" s="356"/>
      <c r="B342" s="364"/>
      <c r="C342" s="356"/>
      <c r="D342" s="357"/>
      <c r="E342" s="467"/>
      <c r="F342" s="467"/>
      <c r="G342" s="14"/>
      <c r="H342" s="14"/>
    </row>
    <row r="343" spans="1:8" ht="13.3">
      <c r="A343" s="355"/>
      <c r="B343" s="355"/>
      <c r="C343" s="355"/>
      <c r="D343" s="358"/>
      <c r="E343" s="466"/>
      <c r="F343" s="466"/>
      <c r="G343" s="14"/>
      <c r="H343" s="14"/>
    </row>
    <row r="344" spans="1:8" ht="12.9">
      <c r="A344" s="356"/>
      <c r="B344" s="364"/>
      <c r="C344" s="356"/>
      <c r="D344" s="357"/>
      <c r="E344" s="467"/>
      <c r="F344" s="467"/>
      <c r="G344" s="14"/>
      <c r="H344" s="14"/>
    </row>
    <row r="345" spans="1:8" ht="12.9">
      <c r="A345" s="356"/>
      <c r="B345" s="364"/>
      <c r="C345" s="356"/>
      <c r="D345" s="357"/>
      <c r="E345" s="467"/>
      <c r="F345" s="467"/>
      <c r="G345" s="14"/>
      <c r="H345" s="14"/>
    </row>
    <row r="346" spans="1:8" ht="12.9">
      <c r="A346" s="356"/>
      <c r="B346" s="364"/>
      <c r="C346" s="356"/>
      <c r="D346" s="357"/>
      <c r="E346" s="467"/>
      <c r="F346" s="467"/>
      <c r="G346" s="14"/>
      <c r="H346" s="14"/>
    </row>
    <row r="347" spans="1:8" ht="12.9">
      <c r="A347" s="356"/>
      <c r="B347" s="364"/>
      <c r="C347" s="356"/>
      <c r="D347" s="357"/>
      <c r="E347" s="467"/>
      <c r="F347" s="467"/>
      <c r="G347" s="14"/>
      <c r="H347" s="14"/>
    </row>
    <row r="348" spans="1:8" ht="13.3">
      <c r="A348" s="355"/>
      <c r="B348" s="355"/>
      <c r="C348" s="355"/>
      <c r="D348" s="358"/>
      <c r="E348" s="466"/>
      <c r="F348" s="466"/>
      <c r="G348" s="14"/>
      <c r="H348" s="14"/>
    </row>
    <row r="349" spans="1:8" ht="12.9">
      <c r="A349" s="356"/>
      <c r="B349" s="364"/>
      <c r="C349" s="356"/>
      <c r="D349" s="357"/>
      <c r="E349" s="467"/>
      <c r="F349" s="467"/>
      <c r="G349" s="14"/>
      <c r="H349" s="14"/>
    </row>
    <row r="350" spans="1:8" ht="12.9">
      <c r="A350" s="356"/>
      <c r="B350" s="364"/>
      <c r="C350" s="356"/>
      <c r="D350" s="357"/>
      <c r="E350" s="467"/>
      <c r="F350" s="467"/>
      <c r="G350" s="14"/>
      <c r="H350" s="14"/>
    </row>
    <row r="351" spans="1:8" ht="12.9">
      <c r="A351" s="356"/>
      <c r="B351" s="364"/>
      <c r="C351" s="356"/>
      <c r="D351" s="357"/>
      <c r="E351" s="467"/>
      <c r="F351" s="467"/>
      <c r="G351" s="14"/>
      <c r="H351" s="14"/>
    </row>
    <row r="352" spans="1:8" ht="12.9">
      <c r="A352" s="356"/>
      <c r="B352" s="364"/>
      <c r="C352" s="356"/>
      <c r="D352" s="357"/>
      <c r="E352" s="467"/>
      <c r="F352" s="467"/>
      <c r="G352" s="14"/>
      <c r="H352" s="14"/>
    </row>
    <row r="353" spans="1:8" ht="13.3">
      <c r="A353" s="355"/>
      <c r="B353" s="355"/>
      <c r="C353" s="355"/>
      <c r="D353" s="358"/>
      <c r="E353" s="466"/>
      <c r="F353" s="466"/>
      <c r="G353" s="14"/>
      <c r="H353" s="14"/>
    </row>
    <row r="354" spans="1:8" ht="12.9">
      <c r="A354" s="356"/>
      <c r="B354" s="364"/>
      <c r="C354" s="356"/>
      <c r="D354" s="357"/>
      <c r="E354" s="467"/>
      <c r="F354" s="467"/>
      <c r="G354" s="14"/>
      <c r="H354" s="14"/>
    </row>
    <row r="355" spans="1:8" ht="12.9">
      <c r="A355" s="356"/>
      <c r="B355" s="364"/>
      <c r="C355" s="356"/>
      <c r="D355" s="357"/>
      <c r="E355" s="467"/>
      <c r="F355" s="467"/>
      <c r="G355" s="14"/>
      <c r="H355" s="14"/>
    </row>
    <row r="356" spans="1:8" ht="12.9">
      <c r="A356" s="356"/>
      <c r="B356" s="364"/>
      <c r="C356" s="356"/>
      <c r="D356" s="357"/>
      <c r="E356" s="467"/>
      <c r="F356" s="467"/>
      <c r="G356" s="14"/>
      <c r="H356" s="14"/>
    </row>
    <row r="357" spans="1:8" ht="12.9">
      <c r="A357" s="356"/>
      <c r="B357" s="364"/>
      <c r="C357" s="356"/>
      <c r="D357" s="357"/>
      <c r="E357" s="467"/>
      <c r="F357" s="467"/>
      <c r="G357" s="14"/>
      <c r="H357" s="14"/>
    </row>
    <row r="358" spans="1:8" ht="13.3">
      <c r="A358" s="355"/>
      <c r="B358" s="355"/>
      <c r="C358" s="355"/>
      <c r="D358" s="358"/>
      <c r="E358" s="466"/>
      <c r="F358" s="466"/>
      <c r="G358" s="14"/>
      <c r="H358" s="14"/>
    </row>
    <row r="359" spans="1:8" ht="12.9">
      <c r="A359" s="356"/>
      <c r="B359" s="364"/>
      <c r="C359" s="356"/>
      <c r="D359" s="357"/>
      <c r="E359" s="467"/>
      <c r="F359" s="467"/>
      <c r="G359" s="14"/>
      <c r="H359" s="14"/>
    </row>
    <row r="360" spans="1:8" ht="12.9">
      <c r="A360" s="356"/>
      <c r="B360" s="364"/>
      <c r="C360" s="356"/>
      <c r="D360" s="357"/>
      <c r="E360" s="467"/>
      <c r="F360" s="467"/>
      <c r="G360" s="14"/>
      <c r="H360" s="14"/>
    </row>
    <row r="361" spans="1:8" ht="12.9">
      <c r="A361" s="356"/>
      <c r="B361" s="364"/>
      <c r="C361" s="356"/>
      <c r="D361" s="357"/>
      <c r="E361" s="467"/>
      <c r="F361" s="467"/>
      <c r="G361" s="14"/>
      <c r="H361" s="14"/>
    </row>
    <row r="362" spans="1:8" ht="12.9">
      <c r="A362" s="356"/>
      <c r="B362" s="364"/>
      <c r="C362" s="356"/>
      <c r="D362" s="357"/>
      <c r="E362" s="467"/>
      <c r="F362" s="467"/>
      <c r="G362" s="14"/>
      <c r="H362" s="14"/>
    </row>
    <row r="363" spans="1:8" ht="13.3">
      <c r="A363" s="355"/>
      <c r="B363" s="355"/>
      <c r="C363" s="355"/>
      <c r="D363" s="358"/>
      <c r="E363" s="466"/>
      <c r="F363" s="466"/>
      <c r="G363" s="14"/>
      <c r="H363" s="14"/>
    </row>
    <row r="364" spans="1:8" ht="12.9">
      <c r="A364" s="356"/>
      <c r="B364" s="364"/>
      <c r="C364" s="356"/>
      <c r="D364" s="357"/>
      <c r="E364" s="467"/>
      <c r="F364" s="467"/>
      <c r="G364" s="14"/>
      <c r="H364" s="14"/>
    </row>
    <row r="365" spans="1:8" ht="12.9">
      <c r="A365" s="356"/>
      <c r="B365" s="364"/>
      <c r="C365" s="356"/>
      <c r="D365" s="357"/>
      <c r="E365" s="467"/>
      <c r="F365" s="467"/>
      <c r="G365" s="14"/>
      <c r="H365" s="14"/>
    </row>
    <row r="366" spans="1:8" ht="12.9">
      <c r="A366" s="356"/>
      <c r="B366" s="364"/>
      <c r="C366" s="356"/>
      <c r="D366" s="357"/>
      <c r="E366" s="467"/>
      <c r="F366" s="467"/>
      <c r="G366" s="14"/>
      <c r="H366" s="14"/>
    </row>
    <row r="367" spans="1:8" ht="12.9">
      <c r="A367" s="356"/>
      <c r="B367" s="364"/>
      <c r="C367" s="356"/>
      <c r="D367" s="357"/>
      <c r="E367" s="467"/>
      <c r="F367" s="467"/>
      <c r="G367" s="14"/>
      <c r="H367" s="14"/>
    </row>
    <row r="368" spans="1:8" ht="13.3">
      <c r="A368" s="355"/>
      <c r="B368" s="355"/>
      <c r="C368" s="355"/>
      <c r="D368" s="358"/>
      <c r="E368" s="466"/>
      <c r="F368" s="466"/>
      <c r="G368" s="14"/>
      <c r="H368" s="14"/>
    </row>
    <row r="369" spans="1:8" ht="12.9">
      <c r="A369" s="356"/>
      <c r="B369" s="364"/>
      <c r="C369" s="356"/>
      <c r="D369" s="357"/>
      <c r="E369" s="467"/>
      <c r="F369" s="467"/>
      <c r="G369" s="14"/>
      <c r="H369" s="14"/>
    </row>
    <row r="370" spans="1:8" ht="12.9">
      <c r="A370" s="356"/>
      <c r="B370" s="364"/>
      <c r="C370" s="356"/>
      <c r="D370" s="357"/>
      <c r="E370" s="467"/>
      <c r="F370" s="467"/>
      <c r="G370" s="14"/>
      <c r="H370" s="14"/>
    </row>
    <row r="371" spans="1:8" ht="12.9">
      <c r="A371" s="356"/>
      <c r="B371" s="364"/>
      <c r="C371" s="356"/>
      <c r="D371" s="357"/>
      <c r="E371" s="467"/>
      <c r="F371" s="467"/>
      <c r="G371" s="14"/>
      <c r="H371" s="14"/>
    </row>
    <row r="372" spans="1:8" ht="12.9">
      <c r="A372" s="356"/>
      <c r="B372" s="364"/>
      <c r="C372" s="356"/>
      <c r="D372" s="357"/>
      <c r="E372" s="467"/>
      <c r="F372" s="467"/>
      <c r="G372" s="14"/>
      <c r="H372" s="14"/>
    </row>
    <row r="373" spans="1:8" ht="13.3">
      <c r="A373" s="355"/>
      <c r="B373" s="355"/>
      <c r="C373" s="355"/>
      <c r="D373" s="358"/>
      <c r="E373" s="466"/>
      <c r="F373" s="466"/>
      <c r="G373" s="14"/>
      <c r="H373" s="14"/>
    </row>
    <row r="374" spans="1:8" ht="12.9">
      <c r="A374" s="356"/>
      <c r="B374" s="364"/>
      <c r="C374" s="356"/>
      <c r="D374" s="357"/>
      <c r="E374" s="467"/>
      <c r="F374" s="467"/>
      <c r="G374" s="14"/>
      <c r="H374" s="14"/>
    </row>
    <row r="375" spans="1:8" ht="12.9">
      <c r="A375" s="356"/>
      <c r="B375" s="364"/>
      <c r="C375" s="356"/>
      <c r="D375" s="357"/>
      <c r="E375" s="467"/>
      <c r="F375" s="467"/>
      <c r="G375" s="14"/>
      <c r="H375" s="14"/>
    </row>
    <row r="376" spans="1:8" ht="12.9">
      <c r="A376" s="356"/>
      <c r="B376" s="364"/>
      <c r="C376" s="356"/>
      <c r="D376" s="357"/>
      <c r="E376" s="467"/>
      <c r="F376" s="467"/>
      <c r="G376" s="14"/>
      <c r="H376" s="14"/>
    </row>
    <row r="377" spans="1:8" ht="12.9">
      <c r="A377" s="356"/>
      <c r="B377" s="364"/>
      <c r="C377" s="356"/>
      <c r="D377" s="357"/>
      <c r="E377" s="467"/>
      <c r="F377" s="467"/>
      <c r="G377" s="14"/>
      <c r="H377" s="14"/>
    </row>
    <row r="378" spans="1:8" ht="13.3">
      <c r="A378" s="355"/>
      <c r="B378" s="355"/>
      <c r="C378" s="355"/>
      <c r="D378" s="358"/>
      <c r="E378" s="466"/>
      <c r="F378" s="466"/>
      <c r="G378" s="14"/>
      <c r="H378" s="14"/>
    </row>
    <row r="379" spans="1:8" ht="12.9">
      <c r="A379" s="356"/>
      <c r="B379" s="364"/>
      <c r="C379" s="356"/>
      <c r="D379" s="357"/>
      <c r="E379" s="467"/>
      <c r="F379" s="467"/>
      <c r="G379" s="14"/>
      <c r="H379" s="14"/>
    </row>
    <row r="380" spans="1:8" ht="12.9">
      <c r="A380" s="356"/>
      <c r="B380" s="364"/>
      <c r="C380" s="356"/>
      <c r="D380" s="357"/>
      <c r="E380" s="467"/>
      <c r="F380" s="467"/>
      <c r="G380" s="14"/>
      <c r="H380" s="14"/>
    </row>
    <row r="381" spans="1:8" ht="12.9">
      <c r="A381" s="356"/>
      <c r="B381" s="364"/>
      <c r="C381" s="356"/>
      <c r="D381" s="357"/>
      <c r="E381" s="467"/>
      <c r="F381" s="467"/>
      <c r="G381" s="14"/>
      <c r="H381" s="14"/>
    </row>
    <row r="382" spans="1:8" ht="12.9">
      <c r="A382" s="356"/>
      <c r="B382" s="364"/>
      <c r="C382" s="356"/>
      <c r="D382" s="357"/>
      <c r="E382" s="467"/>
      <c r="F382" s="467"/>
      <c r="G382" s="14"/>
      <c r="H382" s="14"/>
    </row>
    <row r="383" spans="1:8" ht="13.3">
      <c r="A383" s="355"/>
      <c r="B383" s="355"/>
      <c r="C383" s="355"/>
      <c r="D383" s="358"/>
      <c r="E383" s="466"/>
      <c r="F383" s="466"/>
      <c r="G383" s="14"/>
      <c r="H383" s="14"/>
    </row>
    <row r="384" spans="1:8" ht="12.9">
      <c r="A384" s="356"/>
      <c r="B384" s="364"/>
      <c r="C384" s="356"/>
      <c r="D384" s="357"/>
      <c r="E384" s="467"/>
      <c r="F384" s="467"/>
      <c r="G384" s="14"/>
      <c r="H384" s="14"/>
    </row>
    <row r="385" spans="1:8" ht="12.9">
      <c r="A385" s="356"/>
      <c r="B385" s="364"/>
      <c r="C385" s="356"/>
      <c r="D385" s="357"/>
      <c r="E385" s="467"/>
      <c r="F385" s="467"/>
      <c r="G385" s="14"/>
      <c r="H385" s="14"/>
    </row>
    <row r="386" spans="1:8" ht="12.9">
      <c r="A386" s="356"/>
      <c r="B386" s="364"/>
      <c r="C386" s="356"/>
      <c r="D386" s="357"/>
      <c r="E386" s="467"/>
      <c r="F386" s="467"/>
      <c r="G386" s="14"/>
      <c r="H386" s="14"/>
    </row>
    <row r="387" spans="1:8" ht="12.9">
      <c r="A387" s="356"/>
      <c r="B387" s="364"/>
      <c r="C387" s="356"/>
      <c r="D387" s="357"/>
      <c r="E387" s="467"/>
      <c r="F387" s="467"/>
      <c r="G387" s="14"/>
      <c r="H387" s="14"/>
    </row>
    <row r="388" spans="1:8" ht="13.3">
      <c r="A388" s="355"/>
      <c r="B388" s="355"/>
      <c r="C388" s="355"/>
      <c r="D388" s="358"/>
      <c r="E388" s="466"/>
      <c r="F388" s="466"/>
      <c r="G388" s="14"/>
      <c r="H388" s="14"/>
    </row>
    <row r="389" spans="1:8" ht="12.9">
      <c r="A389" s="356"/>
      <c r="B389" s="364"/>
      <c r="C389" s="356"/>
      <c r="D389" s="357"/>
      <c r="E389" s="467"/>
      <c r="F389" s="467"/>
      <c r="G389" s="14"/>
      <c r="H389" s="14"/>
    </row>
    <row r="390" spans="1:8" ht="12.9">
      <c r="A390" s="356"/>
      <c r="B390" s="364"/>
      <c r="C390" s="356"/>
      <c r="D390" s="357"/>
      <c r="E390" s="467"/>
      <c r="F390" s="467"/>
      <c r="G390" s="14"/>
      <c r="H390" s="14"/>
    </row>
    <row r="391" spans="1:8" ht="12.9">
      <c r="A391" s="356"/>
      <c r="B391" s="364"/>
      <c r="C391" s="356"/>
      <c r="D391" s="357"/>
      <c r="E391" s="467"/>
      <c r="F391" s="467"/>
      <c r="G391" s="14"/>
      <c r="H391" s="14"/>
    </row>
    <row r="392" spans="1:8" ht="12.9">
      <c r="A392" s="356"/>
      <c r="B392" s="364"/>
      <c r="C392" s="356"/>
      <c r="D392" s="357"/>
      <c r="E392" s="467"/>
      <c r="F392" s="467"/>
      <c r="G392" s="14"/>
      <c r="H392" s="14"/>
    </row>
    <row r="393" spans="1:8" ht="13.3">
      <c r="A393" s="355"/>
      <c r="B393" s="355"/>
      <c r="C393" s="355"/>
      <c r="D393" s="358"/>
      <c r="E393" s="466"/>
      <c r="F393" s="466"/>
      <c r="G393" s="14"/>
      <c r="H393" s="14"/>
    </row>
    <row r="394" spans="1:8" ht="12.9">
      <c r="A394" s="356"/>
      <c r="B394" s="364"/>
      <c r="C394" s="356"/>
      <c r="D394" s="357"/>
      <c r="E394" s="467"/>
      <c r="F394" s="467"/>
      <c r="G394" s="14"/>
      <c r="H394" s="14"/>
    </row>
    <row r="395" spans="1:8" ht="12.9">
      <c r="A395" s="356"/>
      <c r="B395" s="364"/>
      <c r="C395" s="356"/>
      <c r="D395" s="357"/>
      <c r="E395" s="467"/>
      <c r="F395" s="467"/>
      <c r="G395" s="14"/>
      <c r="H395" s="14"/>
    </row>
    <row r="396" spans="1:8" ht="12.9">
      <c r="A396" s="356"/>
      <c r="B396" s="364"/>
      <c r="C396" s="356"/>
      <c r="D396" s="357"/>
      <c r="E396" s="467"/>
      <c r="F396" s="467"/>
      <c r="G396" s="14"/>
      <c r="H396" s="14"/>
    </row>
    <row r="397" spans="1:8" ht="12.9">
      <c r="A397" s="356"/>
      <c r="B397" s="364"/>
      <c r="C397" s="356"/>
      <c r="D397" s="357"/>
      <c r="E397" s="467"/>
      <c r="F397" s="467"/>
      <c r="G397" s="14"/>
      <c r="H397" s="14"/>
    </row>
    <row r="398" spans="1:8" ht="13.3">
      <c r="A398" s="355"/>
      <c r="B398" s="355"/>
      <c r="C398" s="355"/>
      <c r="D398" s="358"/>
      <c r="E398" s="466"/>
      <c r="F398" s="466"/>
      <c r="G398" s="14"/>
      <c r="H398" s="14"/>
    </row>
    <row r="399" spans="1:8" ht="12.9">
      <c r="A399" s="356"/>
      <c r="B399" s="364"/>
      <c r="C399" s="356"/>
      <c r="D399" s="357"/>
      <c r="E399" s="467"/>
      <c r="F399" s="467"/>
      <c r="G399" s="14"/>
      <c r="H399" s="14"/>
    </row>
    <row r="400" spans="1:8" ht="12.9">
      <c r="A400" s="356"/>
      <c r="B400" s="364"/>
      <c r="C400" s="356"/>
      <c r="D400" s="357"/>
      <c r="E400" s="467"/>
      <c r="F400" s="467"/>
      <c r="G400" s="14"/>
      <c r="H400" s="14"/>
    </row>
    <row r="401" spans="1:8" ht="12.9">
      <c r="A401" s="356"/>
      <c r="B401" s="364"/>
      <c r="C401" s="356"/>
      <c r="D401" s="357"/>
      <c r="E401" s="467"/>
      <c r="F401" s="467"/>
      <c r="G401" s="14"/>
      <c r="H401" s="14"/>
    </row>
    <row r="402" spans="1:8" ht="12.9">
      <c r="A402" s="356"/>
      <c r="B402" s="364"/>
      <c r="C402" s="356"/>
      <c r="D402" s="357"/>
      <c r="E402" s="467"/>
      <c r="F402" s="467"/>
      <c r="G402" s="14"/>
      <c r="H402" s="14"/>
    </row>
    <row r="403" spans="1:8" ht="13.3">
      <c r="A403" s="355"/>
      <c r="B403" s="355"/>
      <c r="C403" s="355"/>
      <c r="D403" s="358"/>
      <c r="E403" s="466"/>
      <c r="F403" s="466"/>
      <c r="G403" s="14"/>
      <c r="H403" s="14"/>
    </row>
    <row r="404" spans="1:8" ht="12.9">
      <c r="A404" s="356"/>
      <c r="B404" s="364"/>
      <c r="C404" s="356"/>
      <c r="D404" s="357"/>
      <c r="E404" s="467"/>
      <c r="F404" s="467"/>
      <c r="G404" s="14"/>
      <c r="H404" s="14"/>
    </row>
    <row r="405" spans="1:8" ht="12.9">
      <c r="A405" s="356"/>
      <c r="B405" s="364"/>
      <c r="C405" s="356"/>
      <c r="D405" s="357"/>
      <c r="E405" s="467"/>
      <c r="F405" s="467"/>
      <c r="G405" s="14"/>
      <c r="H405" s="14"/>
    </row>
    <row r="406" spans="1:8" ht="12.9">
      <c r="A406" s="356"/>
      <c r="B406" s="364"/>
      <c r="C406" s="356"/>
      <c r="D406" s="357"/>
      <c r="E406" s="467"/>
      <c r="F406" s="467"/>
      <c r="G406" s="14"/>
      <c r="H406" s="14"/>
    </row>
    <row r="407" spans="1:8" ht="12.9">
      <c r="A407" s="356"/>
      <c r="B407" s="364"/>
      <c r="C407" s="356"/>
      <c r="D407" s="357"/>
      <c r="E407" s="467"/>
      <c r="F407" s="467"/>
      <c r="G407" s="14"/>
      <c r="H407" s="14"/>
    </row>
    <row r="408" spans="1:8" ht="13.3">
      <c r="A408" s="355"/>
      <c r="B408" s="355"/>
      <c r="C408" s="355"/>
      <c r="D408" s="358"/>
      <c r="E408" s="466"/>
      <c r="F408" s="466"/>
      <c r="G408" s="14"/>
      <c r="H408" s="14"/>
    </row>
    <row r="409" spans="1:8" ht="12.9">
      <c r="A409" s="356"/>
      <c r="B409" s="364"/>
      <c r="C409" s="356"/>
      <c r="D409" s="357"/>
      <c r="E409" s="467"/>
      <c r="F409" s="467"/>
      <c r="G409" s="14"/>
      <c r="H409" s="14"/>
    </row>
    <row r="410" spans="1:8" ht="12.9">
      <c r="A410" s="356"/>
      <c r="B410" s="364"/>
      <c r="C410" s="356"/>
      <c r="D410" s="357"/>
      <c r="E410" s="467"/>
      <c r="F410" s="467"/>
      <c r="G410" s="14"/>
      <c r="H410" s="14"/>
    </row>
    <row r="411" spans="1:8" ht="12.9">
      <c r="A411" s="356"/>
      <c r="B411" s="364"/>
      <c r="C411" s="356"/>
      <c r="D411" s="357"/>
      <c r="E411" s="467"/>
      <c r="F411" s="467"/>
      <c r="G411" s="14"/>
      <c r="H411" s="14"/>
    </row>
    <row r="412" spans="1:8" ht="12.9">
      <c r="A412" s="356"/>
      <c r="B412" s="364"/>
      <c r="C412" s="356"/>
      <c r="D412" s="357"/>
      <c r="E412" s="467"/>
      <c r="F412" s="467"/>
      <c r="G412" s="14"/>
      <c r="H412" s="14"/>
    </row>
    <row r="413" spans="1:8" ht="13.3">
      <c r="A413" s="355"/>
      <c r="B413" s="355"/>
      <c r="C413" s="355"/>
      <c r="D413" s="358"/>
      <c r="E413" s="466"/>
      <c r="F413" s="466"/>
      <c r="G413" s="14"/>
      <c r="H413" s="14"/>
    </row>
    <row r="414" spans="1:8" ht="12.9">
      <c r="A414" s="356"/>
      <c r="B414" s="364"/>
      <c r="C414" s="356"/>
      <c r="D414" s="357"/>
      <c r="E414" s="467"/>
      <c r="F414" s="467"/>
      <c r="G414" s="14"/>
      <c r="H414" s="14"/>
    </row>
    <row r="415" spans="1:8" ht="12.9">
      <c r="A415" s="356"/>
      <c r="B415" s="364"/>
      <c r="C415" s="356"/>
      <c r="D415" s="357"/>
      <c r="E415" s="467"/>
      <c r="F415" s="467"/>
      <c r="G415" s="14"/>
      <c r="H415" s="14"/>
    </row>
    <row r="416" spans="1:8" ht="12.9">
      <c r="A416" s="356"/>
      <c r="B416" s="364"/>
      <c r="C416" s="356"/>
      <c r="D416" s="357"/>
      <c r="E416" s="467"/>
      <c r="F416" s="467"/>
      <c r="G416" s="14"/>
      <c r="H416" s="14"/>
    </row>
    <row r="417" spans="1:8" ht="12.9">
      <c r="A417" s="356"/>
      <c r="B417" s="364"/>
      <c r="C417" s="356"/>
      <c r="D417" s="357"/>
      <c r="E417" s="467"/>
      <c r="F417" s="467"/>
      <c r="G417" s="14"/>
      <c r="H417" s="14"/>
    </row>
    <row r="418" spans="1:8" ht="13.3">
      <c r="A418" s="355"/>
      <c r="B418" s="355"/>
      <c r="C418" s="355"/>
      <c r="D418" s="358"/>
      <c r="E418" s="466"/>
      <c r="F418" s="466"/>
      <c r="G418" s="14"/>
      <c r="H418" s="14"/>
    </row>
    <row r="419" spans="1:8" ht="12.9">
      <c r="A419" s="356"/>
      <c r="B419" s="364"/>
      <c r="C419" s="356"/>
      <c r="D419" s="357"/>
      <c r="E419" s="467"/>
      <c r="F419" s="467"/>
      <c r="G419" s="14"/>
      <c r="H419" s="14"/>
    </row>
    <row r="420" spans="1:8" ht="12.9">
      <c r="A420" s="356"/>
      <c r="B420" s="364"/>
      <c r="C420" s="356"/>
      <c r="D420" s="357"/>
      <c r="E420" s="467"/>
      <c r="F420" s="467"/>
      <c r="G420" s="14"/>
      <c r="H420" s="14"/>
    </row>
    <row r="421" spans="1:8" ht="12.9">
      <c r="A421" s="356"/>
      <c r="B421" s="364"/>
      <c r="C421" s="356"/>
      <c r="D421" s="357"/>
      <c r="E421" s="467"/>
      <c r="F421" s="467"/>
      <c r="G421" s="14"/>
      <c r="H421" s="14"/>
    </row>
    <row r="422" spans="1:8" ht="12.9">
      <c r="A422" s="356"/>
      <c r="B422" s="364"/>
      <c r="C422" s="356"/>
      <c r="D422" s="357"/>
      <c r="E422" s="467"/>
      <c r="F422" s="467"/>
      <c r="G422" s="14"/>
      <c r="H422" s="14"/>
    </row>
    <row r="423" spans="1:8" ht="13.3">
      <c r="A423" s="355"/>
      <c r="B423" s="355"/>
      <c r="C423" s="355"/>
      <c r="D423" s="358"/>
      <c r="E423" s="466"/>
      <c r="F423" s="466"/>
      <c r="G423" s="14"/>
      <c r="H423" s="14"/>
    </row>
    <row r="424" spans="1:8" ht="12.9">
      <c r="A424" s="356"/>
      <c r="B424" s="364"/>
      <c r="C424" s="356"/>
      <c r="D424" s="357"/>
      <c r="E424" s="467"/>
      <c r="F424" s="467"/>
      <c r="G424" s="14"/>
      <c r="H424" s="14"/>
    </row>
    <row r="425" spans="1:8" ht="12.9">
      <c r="A425" s="356"/>
      <c r="B425" s="364"/>
      <c r="C425" s="356"/>
      <c r="D425" s="357"/>
      <c r="E425" s="467"/>
      <c r="F425" s="467"/>
      <c r="G425" s="14"/>
      <c r="H425" s="14"/>
    </row>
    <row r="426" spans="1:8" ht="12.9">
      <c r="A426" s="356"/>
      <c r="B426" s="364"/>
      <c r="C426" s="356"/>
      <c r="D426" s="357"/>
      <c r="E426" s="467"/>
      <c r="F426" s="467"/>
      <c r="G426" s="14"/>
      <c r="H426" s="14"/>
    </row>
    <row r="427" spans="1:8" ht="12.9">
      <c r="A427" s="356"/>
      <c r="B427" s="364"/>
      <c r="C427" s="356"/>
      <c r="D427" s="357"/>
      <c r="E427" s="467"/>
      <c r="F427" s="467"/>
      <c r="G427" s="14"/>
      <c r="H427" s="14"/>
    </row>
    <row r="428" spans="1:8" ht="13.3">
      <c r="A428" s="355"/>
      <c r="B428" s="355"/>
      <c r="C428" s="355"/>
      <c r="D428" s="358"/>
      <c r="E428" s="466"/>
      <c r="F428" s="466"/>
      <c r="G428" s="14"/>
      <c r="H428" s="14"/>
    </row>
    <row r="429" spans="1:8" ht="12.9">
      <c r="A429" s="356"/>
      <c r="B429" s="364"/>
      <c r="C429" s="356"/>
      <c r="D429" s="357"/>
      <c r="E429" s="467"/>
      <c r="F429" s="467"/>
      <c r="G429" s="14"/>
      <c r="H429" s="14"/>
    </row>
    <row r="430" spans="1:8" ht="12.9">
      <c r="A430" s="356"/>
      <c r="B430" s="364"/>
      <c r="C430" s="356"/>
      <c r="D430" s="357"/>
      <c r="E430" s="467"/>
      <c r="F430" s="467"/>
      <c r="G430" s="14"/>
      <c r="H430" s="14"/>
    </row>
    <row r="431" spans="1:8" ht="12.9">
      <c r="A431" s="356"/>
      <c r="B431" s="364"/>
      <c r="C431" s="356"/>
      <c r="D431" s="357"/>
      <c r="E431" s="467"/>
      <c r="F431" s="467"/>
      <c r="G431" s="14"/>
      <c r="H431" s="14"/>
    </row>
    <row r="432" spans="1:8" ht="12.9">
      <c r="A432" s="356"/>
      <c r="B432" s="364"/>
      <c r="C432" s="356"/>
      <c r="D432" s="357"/>
      <c r="E432" s="467"/>
      <c r="F432" s="467"/>
      <c r="G432" s="14"/>
      <c r="H432" s="14"/>
    </row>
    <row r="433" spans="1:8" ht="13.3">
      <c r="A433" s="355"/>
      <c r="B433" s="355"/>
      <c r="C433" s="355"/>
      <c r="D433" s="358"/>
      <c r="E433" s="466"/>
      <c r="F433" s="466"/>
      <c r="G433" s="14"/>
      <c r="H433" s="14"/>
    </row>
    <row r="434" spans="1:8" ht="12.9">
      <c r="A434" s="356"/>
      <c r="B434" s="364"/>
      <c r="C434" s="356"/>
      <c r="D434" s="357"/>
      <c r="E434" s="467"/>
      <c r="F434" s="467"/>
      <c r="G434" s="14"/>
      <c r="H434" s="14"/>
    </row>
    <row r="435" spans="1:8" ht="12.9">
      <c r="A435" s="356"/>
      <c r="B435" s="364"/>
      <c r="C435" s="356"/>
      <c r="D435" s="357"/>
      <c r="E435" s="467"/>
      <c r="F435" s="467"/>
      <c r="G435" s="14"/>
      <c r="H435" s="14"/>
    </row>
    <row r="436" spans="1:8" ht="12.9">
      <c r="A436" s="356"/>
      <c r="B436" s="364"/>
      <c r="C436" s="356"/>
      <c r="D436" s="357"/>
      <c r="E436" s="467"/>
      <c r="F436" s="467"/>
      <c r="G436" s="14"/>
      <c r="H436" s="14"/>
    </row>
    <row r="437" spans="1:8" ht="12.9">
      <c r="A437" s="356"/>
      <c r="B437" s="364"/>
      <c r="C437" s="356"/>
      <c r="D437" s="357"/>
      <c r="E437" s="467"/>
      <c r="F437" s="467"/>
      <c r="G437" s="14"/>
      <c r="H437" s="14"/>
    </row>
    <row r="438" spans="1:8" ht="13.3">
      <c r="A438" s="355"/>
      <c r="B438" s="355"/>
      <c r="C438" s="355"/>
      <c r="D438" s="358"/>
      <c r="E438" s="466"/>
      <c r="F438" s="466"/>
      <c r="G438" s="14"/>
      <c r="H438" s="14"/>
    </row>
    <row r="439" spans="1:8" ht="12.9">
      <c r="A439" s="356"/>
      <c r="B439" s="364"/>
      <c r="C439" s="356"/>
      <c r="D439" s="357"/>
      <c r="E439" s="467"/>
      <c r="F439" s="467"/>
      <c r="G439" s="14"/>
      <c r="H439" s="14"/>
    </row>
    <row r="440" spans="1:8" ht="12.9">
      <c r="A440" s="356"/>
      <c r="B440" s="364"/>
      <c r="C440" s="356"/>
      <c r="D440" s="357"/>
      <c r="E440" s="467"/>
      <c r="F440" s="467"/>
      <c r="G440" s="14"/>
      <c r="H440" s="14"/>
    </row>
    <row r="441" spans="1:8" ht="12.9">
      <c r="A441" s="356"/>
      <c r="B441" s="364"/>
      <c r="C441" s="356"/>
      <c r="D441" s="357"/>
      <c r="E441" s="467"/>
      <c r="F441" s="467"/>
      <c r="G441" s="14"/>
      <c r="H441" s="14"/>
    </row>
    <row r="442" spans="1:8" ht="12.9">
      <c r="A442" s="356"/>
      <c r="B442" s="364"/>
      <c r="C442" s="356"/>
      <c r="D442" s="357"/>
      <c r="E442" s="467"/>
      <c r="F442" s="467"/>
      <c r="G442" s="14"/>
      <c r="H442" s="14"/>
    </row>
    <row r="443" spans="1:8" ht="13.3">
      <c r="A443" s="355"/>
      <c r="B443" s="355"/>
      <c r="C443" s="355"/>
      <c r="D443" s="358"/>
      <c r="E443" s="466"/>
      <c r="F443" s="466"/>
      <c r="G443" s="14"/>
      <c r="H443" s="14"/>
    </row>
    <row r="444" spans="1:8" ht="12.9">
      <c r="A444" s="356"/>
      <c r="B444" s="364"/>
      <c r="C444" s="356"/>
      <c r="D444" s="357"/>
      <c r="E444" s="467"/>
      <c r="F444" s="467"/>
      <c r="G444" s="14"/>
      <c r="H444" s="14"/>
    </row>
    <row r="445" spans="1:8" ht="12.9">
      <c r="A445" s="356"/>
      <c r="B445" s="364"/>
      <c r="C445" s="356"/>
      <c r="D445" s="357"/>
      <c r="E445" s="467"/>
      <c r="F445" s="467"/>
      <c r="G445" s="14"/>
      <c r="H445" s="14"/>
    </row>
    <row r="446" spans="1:8" ht="12.9">
      <c r="A446" s="356"/>
      <c r="B446" s="364"/>
      <c r="C446" s="356"/>
      <c r="D446" s="357"/>
      <c r="E446" s="467"/>
      <c r="F446" s="467"/>
      <c r="G446" s="14"/>
      <c r="H446" s="14"/>
    </row>
    <row r="447" spans="1:8" ht="12.9">
      <c r="A447" s="356"/>
      <c r="B447" s="364"/>
      <c r="C447" s="356"/>
      <c r="D447" s="357"/>
      <c r="E447" s="467"/>
      <c r="F447" s="467"/>
      <c r="G447" s="14"/>
      <c r="H447" s="14"/>
    </row>
    <row r="448" spans="1:8" ht="13.3">
      <c r="A448" s="355"/>
      <c r="B448" s="355"/>
      <c r="C448" s="355"/>
      <c r="D448" s="358"/>
      <c r="E448" s="466"/>
      <c r="F448" s="466"/>
      <c r="G448" s="14"/>
      <c r="H448" s="14"/>
    </row>
    <row r="449" spans="1:8" ht="12.9">
      <c r="A449" s="356"/>
      <c r="B449" s="364"/>
      <c r="C449" s="356"/>
      <c r="D449" s="357"/>
      <c r="E449" s="467"/>
      <c r="F449" s="467"/>
      <c r="G449" s="14"/>
      <c r="H449" s="14"/>
    </row>
    <row r="450" spans="1:8" ht="12.9">
      <c r="A450" s="356"/>
      <c r="B450" s="364"/>
      <c r="C450" s="356"/>
      <c r="D450" s="357"/>
      <c r="E450" s="467"/>
      <c r="F450" s="467"/>
      <c r="G450" s="14"/>
      <c r="H450" s="14"/>
    </row>
    <row r="451" spans="1:8" ht="12.9">
      <c r="A451" s="356"/>
      <c r="B451" s="364"/>
      <c r="C451" s="356"/>
      <c r="D451" s="357"/>
      <c r="E451" s="467"/>
      <c r="F451" s="467"/>
      <c r="G451" s="14"/>
      <c r="H451" s="14"/>
    </row>
    <row r="452" spans="1:8" ht="12.9">
      <c r="A452" s="356"/>
      <c r="B452" s="364"/>
      <c r="C452" s="356"/>
      <c r="D452" s="357"/>
      <c r="E452" s="467"/>
      <c r="F452" s="467"/>
      <c r="G452" s="14"/>
      <c r="H452" s="14"/>
    </row>
    <row r="453" spans="1:8" ht="13.3">
      <c r="A453" s="355"/>
      <c r="B453" s="355"/>
      <c r="C453" s="355"/>
      <c r="D453" s="358"/>
      <c r="E453" s="466"/>
      <c r="F453" s="466"/>
      <c r="G453" s="14"/>
      <c r="H453" s="14"/>
    </row>
    <row r="454" spans="1:8" ht="12.9">
      <c r="A454" s="356"/>
      <c r="B454" s="364"/>
      <c r="C454" s="356"/>
      <c r="D454" s="357"/>
      <c r="E454" s="467"/>
      <c r="F454" s="467"/>
      <c r="G454" s="14"/>
      <c r="H454" s="14"/>
    </row>
    <row r="455" spans="1:8" ht="12.9">
      <c r="A455" s="356"/>
      <c r="B455" s="364"/>
      <c r="C455" s="356"/>
      <c r="D455" s="357"/>
      <c r="E455" s="467"/>
      <c r="F455" s="467"/>
      <c r="G455" s="14"/>
      <c r="H455" s="14"/>
    </row>
    <row r="456" spans="1:8" ht="12.9">
      <c r="A456" s="356"/>
      <c r="B456" s="364"/>
      <c r="C456" s="356"/>
      <c r="D456" s="357"/>
      <c r="E456" s="467"/>
      <c r="F456" s="467"/>
      <c r="G456" s="14"/>
      <c r="H456" s="14"/>
    </row>
    <row r="457" spans="1:8" ht="12.9">
      <c r="A457" s="356"/>
      <c r="B457" s="364"/>
      <c r="C457" s="356"/>
      <c r="D457" s="357"/>
      <c r="E457" s="467"/>
      <c r="F457" s="467"/>
      <c r="G457" s="14"/>
      <c r="H457" s="14"/>
    </row>
    <row r="458" spans="1:8" ht="13.3">
      <c r="A458" s="355"/>
      <c r="B458" s="355"/>
      <c r="C458" s="355"/>
      <c r="D458" s="358"/>
      <c r="E458" s="466"/>
      <c r="F458" s="466"/>
      <c r="G458" s="14"/>
      <c r="H458" s="14"/>
    </row>
    <row r="459" spans="1:8" ht="12.9">
      <c r="A459" s="356"/>
      <c r="B459" s="364"/>
      <c r="C459" s="356"/>
      <c r="D459" s="357"/>
      <c r="E459" s="467"/>
      <c r="F459" s="467"/>
      <c r="G459" s="14"/>
      <c r="H459" s="14"/>
    </row>
    <row r="460" spans="1:8" ht="12.9">
      <c r="A460" s="356"/>
      <c r="B460" s="364"/>
      <c r="C460" s="356"/>
      <c r="D460" s="357"/>
      <c r="E460" s="467"/>
      <c r="F460" s="467"/>
      <c r="G460" s="14"/>
      <c r="H460" s="14"/>
    </row>
    <row r="461" spans="1:8" ht="12.9">
      <c r="A461" s="356"/>
      <c r="B461" s="364"/>
      <c r="C461" s="356"/>
      <c r="D461" s="357"/>
      <c r="E461" s="467"/>
      <c r="F461" s="467"/>
      <c r="G461" s="14"/>
      <c r="H461" s="14"/>
    </row>
    <row r="462" spans="1:8" ht="12.9">
      <c r="A462" s="356"/>
      <c r="B462" s="364"/>
      <c r="C462" s="356"/>
      <c r="D462" s="357"/>
      <c r="E462" s="467"/>
      <c r="F462" s="467"/>
      <c r="G462" s="14"/>
      <c r="H462" s="14"/>
    </row>
    <row r="463" spans="1:8" ht="13.3">
      <c r="A463" s="355"/>
      <c r="B463" s="355"/>
      <c r="C463" s="355"/>
      <c r="D463" s="358"/>
      <c r="E463" s="466"/>
      <c r="F463" s="466"/>
      <c r="G463" s="14"/>
      <c r="H463" s="14"/>
    </row>
    <row r="464" spans="1:8" ht="12.9">
      <c r="A464" s="356"/>
      <c r="B464" s="364"/>
      <c r="C464" s="356"/>
      <c r="D464" s="357"/>
      <c r="E464" s="467"/>
      <c r="F464" s="467"/>
      <c r="G464" s="14"/>
      <c r="H464" s="14"/>
    </row>
    <row r="465" spans="1:8" ht="12.9">
      <c r="A465" s="356"/>
      <c r="B465" s="364"/>
      <c r="C465" s="356"/>
      <c r="D465" s="357"/>
      <c r="E465" s="467"/>
      <c r="F465" s="467"/>
      <c r="G465" s="14"/>
      <c r="H465" s="14"/>
    </row>
    <row r="466" spans="1:8" ht="12.9">
      <c r="A466" s="356"/>
      <c r="B466" s="364"/>
      <c r="C466" s="356"/>
      <c r="D466" s="357"/>
      <c r="E466" s="467"/>
      <c r="F466" s="467"/>
      <c r="G466" s="14"/>
      <c r="H466" s="14"/>
    </row>
    <row r="467" spans="1:8" ht="12.9">
      <c r="A467" s="356"/>
      <c r="B467" s="364"/>
      <c r="C467" s="356"/>
      <c r="D467" s="357"/>
      <c r="E467" s="467"/>
      <c r="F467" s="467"/>
      <c r="G467" s="14"/>
      <c r="H467" s="14"/>
    </row>
    <row r="468" spans="1:8" ht="13.3">
      <c r="A468" s="355"/>
      <c r="B468" s="355"/>
      <c r="C468" s="355"/>
      <c r="D468" s="358"/>
      <c r="E468" s="466"/>
      <c r="F468" s="466"/>
      <c r="G468" s="14"/>
      <c r="H468" s="14"/>
    </row>
    <row r="469" spans="1:8" ht="12.9">
      <c r="A469" s="356"/>
      <c r="B469" s="364"/>
      <c r="C469" s="356"/>
      <c r="D469" s="357"/>
      <c r="E469" s="467"/>
      <c r="F469" s="467"/>
      <c r="G469" s="14"/>
      <c r="H469" s="14"/>
    </row>
    <row r="470" spans="1:8" ht="12.9">
      <c r="A470" s="356"/>
      <c r="B470" s="364"/>
      <c r="C470" s="356"/>
      <c r="D470" s="357"/>
      <c r="E470" s="467"/>
      <c r="F470" s="467"/>
      <c r="G470" s="14"/>
      <c r="H470" s="14"/>
    </row>
    <row r="471" spans="1:8" ht="12.9">
      <c r="A471" s="356"/>
      <c r="B471" s="364"/>
      <c r="C471" s="356"/>
      <c r="D471" s="357"/>
      <c r="E471" s="467"/>
      <c r="F471" s="467"/>
      <c r="G471" s="14"/>
      <c r="H471" s="14"/>
    </row>
    <row r="472" spans="1:8" ht="12.9">
      <c r="A472" s="356"/>
      <c r="B472" s="364"/>
      <c r="C472" s="356"/>
      <c r="D472" s="357"/>
      <c r="E472" s="467"/>
      <c r="F472" s="467"/>
      <c r="G472" s="14"/>
      <c r="H472" s="14"/>
    </row>
    <row r="473" spans="1:8" ht="13.3">
      <c r="A473" s="355"/>
      <c r="B473" s="355"/>
      <c r="C473" s="355"/>
      <c r="D473" s="358"/>
      <c r="E473" s="466"/>
      <c r="F473" s="466"/>
      <c r="G473" s="14"/>
      <c r="H473" s="14"/>
    </row>
    <row r="474" spans="1:8" ht="12.9">
      <c r="A474" s="356"/>
      <c r="B474" s="364"/>
      <c r="C474" s="356"/>
      <c r="D474" s="357"/>
      <c r="E474" s="467"/>
      <c r="F474" s="467"/>
      <c r="G474" s="14"/>
      <c r="H474" s="14"/>
    </row>
    <row r="475" spans="1:8" ht="12.9">
      <c r="A475" s="356"/>
      <c r="B475" s="364"/>
      <c r="C475" s="356"/>
      <c r="D475" s="357"/>
      <c r="E475" s="467"/>
      <c r="F475" s="467"/>
      <c r="G475" s="14"/>
      <c r="H475" s="14"/>
    </row>
    <row r="476" spans="1:8" ht="12.9">
      <c r="A476" s="356"/>
      <c r="B476" s="364"/>
      <c r="C476" s="356"/>
      <c r="D476" s="357"/>
      <c r="E476" s="467"/>
      <c r="F476" s="467"/>
      <c r="G476" s="14"/>
      <c r="H476" s="14"/>
    </row>
    <row r="477" spans="1:8" ht="12.9">
      <c r="A477" s="356"/>
      <c r="B477" s="364"/>
      <c r="C477" s="356"/>
      <c r="D477" s="357"/>
      <c r="E477" s="467"/>
      <c r="F477" s="467"/>
      <c r="G477" s="14"/>
      <c r="H477" s="14"/>
    </row>
    <row r="478" spans="1:8" ht="13.3">
      <c r="A478" s="355"/>
      <c r="B478" s="355"/>
      <c r="C478" s="355"/>
      <c r="D478" s="358"/>
      <c r="E478" s="466"/>
      <c r="F478" s="466"/>
      <c r="G478" s="14"/>
      <c r="H478" s="14"/>
    </row>
    <row r="479" spans="1:8" ht="12.9">
      <c r="A479" s="356"/>
      <c r="B479" s="364"/>
      <c r="C479" s="356"/>
      <c r="D479" s="357"/>
      <c r="E479" s="467"/>
      <c r="F479" s="467"/>
      <c r="G479" s="14"/>
      <c r="H479" s="14"/>
    </row>
    <row r="480" spans="1:8" ht="12.9">
      <c r="A480" s="356"/>
      <c r="B480" s="364"/>
      <c r="C480" s="356"/>
      <c r="D480" s="357"/>
      <c r="E480" s="467"/>
      <c r="F480" s="467"/>
      <c r="G480" s="14"/>
      <c r="H480" s="14"/>
    </row>
    <row r="481" spans="1:8" ht="12.9">
      <c r="A481" s="356"/>
      <c r="B481" s="364"/>
      <c r="C481" s="356"/>
      <c r="D481" s="357"/>
      <c r="E481" s="467"/>
      <c r="F481" s="467"/>
      <c r="G481" s="14"/>
      <c r="H481" s="14"/>
    </row>
    <row r="482" spans="1:8" ht="12.9">
      <c r="A482" s="356"/>
      <c r="B482" s="364"/>
      <c r="C482" s="356"/>
      <c r="D482" s="357"/>
      <c r="E482" s="467"/>
      <c r="F482" s="467"/>
      <c r="G482" s="14"/>
      <c r="H482" s="14"/>
    </row>
    <row r="483" spans="1:8" ht="13.3">
      <c r="A483" s="355"/>
      <c r="B483" s="355"/>
      <c r="C483" s="355"/>
      <c r="D483" s="358"/>
      <c r="E483" s="466"/>
      <c r="F483" s="466"/>
      <c r="G483" s="14"/>
      <c r="H483" s="14"/>
    </row>
    <row r="484" spans="1:8" ht="12.9">
      <c r="A484" s="356"/>
      <c r="B484" s="364"/>
      <c r="C484" s="356"/>
      <c r="D484" s="357"/>
      <c r="E484" s="467"/>
      <c r="F484" s="467"/>
      <c r="G484" s="14"/>
      <c r="H484" s="14"/>
    </row>
    <row r="485" spans="1:8" ht="12.9">
      <c r="A485" s="356"/>
      <c r="B485" s="364"/>
      <c r="C485" s="356"/>
      <c r="D485" s="357"/>
      <c r="E485" s="467"/>
      <c r="F485" s="467"/>
      <c r="G485" s="14"/>
      <c r="H485" s="14"/>
    </row>
    <row r="486" spans="1:8" ht="12.9">
      <c r="A486" s="356"/>
      <c r="B486" s="364"/>
      <c r="C486" s="356"/>
      <c r="D486" s="357"/>
      <c r="E486" s="467"/>
      <c r="F486" s="467"/>
      <c r="G486" s="14"/>
      <c r="H486" s="14"/>
    </row>
    <row r="487" spans="1:8" ht="12.9">
      <c r="A487" s="356"/>
      <c r="B487" s="364"/>
      <c r="C487" s="356"/>
      <c r="D487" s="357"/>
      <c r="E487" s="467"/>
      <c r="F487" s="467"/>
      <c r="G487" s="14"/>
      <c r="H487" s="14"/>
    </row>
    <row r="488" spans="1:8" ht="13.3">
      <c r="A488" s="355"/>
      <c r="B488" s="355"/>
      <c r="C488" s="355"/>
      <c r="D488" s="358"/>
      <c r="E488" s="466"/>
      <c r="F488" s="466"/>
      <c r="G488" s="14"/>
      <c r="H488" s="14"/>
    </row>
    <row r="489" spans="1:8" ht="12.9">
      <c r="A489" s="356"/>
      <c r="B489" s="364"/>
      <c r="C489" s="356"/>
      <c r="D489" s="357"/>
      <c r="E489" s="467"/>
      <c r="F489" s="467"/>
      <c r="G489" s="14"/>
      <c r="H489" s="14"/>
    </row>
    <row r="490" spans="1:8" ht="12.9">
      <c r="A490" s="356"/>
      <c r="B490" s="364"/>
      <c r="C490" s="356"/>
      <c r="D490" s="357"/>
      <c r="E490" s="467"/>
      <c r="F490" s="467"/>
      <c r="G490" s="14"/>
      <c r="H490" s="14"/>
    </row>
    <row r="491" spans="1:8" ht="12.9">
      <c r="A491" s="356"/>
      <c r="B491" s="364"/>
      <c r="C491" s="356"/>
      <c r="D491" s="357"/>
      <c r="E491" s="467"/>
      <c r="F491" s="467"/>
      <c r="G491" s="14"/>
      <c r="H491" s="14"/>
    </row>
    <row r="492" spans="1:8" ht="12.9">
      <c r="A492" s="356"/>
      <c r="B492" s="364"/>
      <c r="C492" s="356"/>
      <c r="D492" s="357"/>
      <c r="E492" s="467"/>
      <c r="F492" s="467"/>
      <c r="G492" s="14"/>
      <c r="H492" s="14"/>
    </row>
    <row r="493" spans="1:8" ht="13.3">
      <c r="A493" s="355"/>
      <c r="B493" s="355"/>
      <c r="C493" s="355"/>
      <c r="D493" s="358"/>
      <c r="E493" s="466"/>
      <c r="F493" s="466"/>
      <c r="G493" s="14"/>
      <c r="H493" s="14"/>
    </row>
    <row r="494" spans="1:8" ht="12.9">
      <c r="A494" s="356"/>
      <c r="B494" s="364"/>
      <c r="C494" s="356"/>
      <c r="D494" s="357"/>
      <c r="E494" s="467"/>
      <c r="F494" s="467"/>
      <c r="G494" s="14"/>
      <c r="H494" s="14"/>
    </row>
    <row r="495" spans="1:8" ht="12.9">
      <c r="A495" s="356"/>
      <c r="B495" s="364"/>
      <c r="C495" s="356"/>
      <c r="D495" s="357"/>
      <c r="E495" s="467"/>
      <c r="F495" s="467"/>
      <c r="G495" s="14"/>
      <c r="H495" s="14"/>
    </row>
    <row r="496" spans="1:8" ht="12.9">
      <c r="A496" s="356"/>
      <c r="B496" s="364"/>
      <c r="C496" s="356"/>
      <c r="D496" s="357"/>
      <c r="E496" s="467"/>
      <c r="F496" s="467"/>
      <c r="G496" s="14"/>
      <c r="H496" s="14"/>
    </row>
    <row r="497" spans="1:8" ht="12.9">
      <c r="A497" s="356"/>
      <c r="B497" s="364"/>
      <c r="C497" s="356"/>
      <c r="D497" s="357"/>
      <c r="E497" s="467"/>
      <c r="F497" s="467"/>
      <c r="G497" s="14"/>
      <c r="H497" s="14"/>
    </row>
    <row r="498" spans="1:8" ht="13.3">
      <c r="A498" s="355"/>
      <c r="B498" s="355"/>
      <c r="C498" s="355"/>
      <c r="D498" s="358"/>
      <c r="E498" s="466"/>
      <c r="F498" s="466"/>
      <c r="G498" s="14"/>
      <c r="H498" s="14"/>
    </row>
    <row r="499" spans="1:8" ht="12.9">
      <c r="A499" s="356"/>
      <c r="B499" s="364"/>
      <c r="C499" s="356"/>
      <c r="D499" s="357"/>
      <c r="E499" s="467"/>
      <c r="F499" s="467"/>
      <c r="G499" s="14"/>
      <c r="H499" s="14"/>
    </row>
    <row r="500" spans="1:8" ht="12.9">
      <c r="A500" s="356"/>
      <c r="B500" s="364"/>
      <c r="C500" s="356"/>
      <c r="D500" s="357"/>
      <c r="E500" s="467"/>
      <c r="F500" s="467"/>
      <c r="G500" s="14"/>
      <c r="H500" s="14"/>
    </row>
    <row r="501" spans="1:8" ht="12.9">
      <c r="A501" s="356"/>
      <c r="B501" s="364"/>
      <c r="C501" s="356"/>
      <c r="D501" s="357"/>
      <c r="E501" s="467"/>
      <c r="F501" s="467"/>
      <c r="G501" s="14"/>
      <c r="H501" s="14"/>
    </row>
    <row r="502" spans="1:8" ht="12.9">
      <c r="A502" s="356"/>
      <c r="B502" s="364"/>
      <c r="C502" s="356"/>
      <c r="D502" s="357"/>
      <c r="E502" s="467"/>
      <c r="F502" s="467"/>
      <c r="G502" s="14"/>
      <c r="H502" s="14"/>
    </row>
    <row r="503" spans="1:8" ht="13.3">
      <c r="A503" s="355"/>
      <c r="B503" s="355"/>
      <c r="C503" s="355"/>
      <c r="D503" s="358"/>
      <c r="E503" s="466"/>
      <c r="F503" s="466"/>
      <c r="G503" s="14"/>
      <c r="H503" s="14"/>
    </row>
    <row r="504" spans="1:8" ht="12.9">
      <c r="A504" s="356"/>
      <c r="B504" s="364"/>
      <c r="C504" s="356"/>
      <c r="D504" s="357"/>
      <c r="E504" s="467"/>
      <c r="F504" s="467"/>
      <c r="G504" s="14"/>
      <c r="H504" s="14"/>
    </row>
    <row r="505" spans="1:8" ht="12.9">
      <c r="A505" s="356"/>
      <c r="B505" s="364"/>
      <c r="C505" s="356"/>
      <c r="D505" s="357"/>
      <c r="E505" s="467"/>
      <c r="F505" s="467"/>
      <c r="G505" s="14"/>
      <c r="H505" s="14"/>
    </row>
    <row r="506" spans="1:8" ht="12.9">
      <c r="A506" s="356"/>
      <c r="B506" s="364"/>
      <c r="C506" s="356"/>
      <c r="D506" s="357"/>
      <c r="E506" s="467"/>
      <c r="F506" s="467"/>
      <c r="G506" s="14"/>
      <c r="H506" s="14"/>
    </row>
    <row r="507" spans="1:8" ht="12.9">
      <c r="A507" s="356"/>
      <c r="B507" s="364"/>
      <c r="C507" s="356"/>
      <c r="D507" s="357"/>
      <c r="E507" s="467"/>
      <c r="F507" s="467"/>
      <c r="G507" s="14"/>
      <c r="H507" s="14"/>
    </row>
    <row r="508" spans="1:8" ht="13.3">
      <c r="A508" s="355"/>
      <c r="B508" s="355"/>
      <c r="C508" s="355"/>
      <c r="D508" s="358"/>
      <c r="E508" s="466"/>
      <c r="F508" s="466"/>
      <c r="G508" s="14"/>
      <c r="H508" s="14"/>
    </row>
    <row r="509" spans="1:8" ht="12.9">
      <c r="A509" s="356"/>
      <c r="B509" s="364"/>
      <c r="C509" s="356"/>
      <c r="D509" s="357"/>
      <c r="E509" s="467"/>
      <c r="F509" s="467"/>
      <c r="G509" s="14"/>
      <c r="H509" s="14"/>
    </row>
    <row r="510" spans="1:8" ht="12.9">
      <c r="A510" s="356"/>
      <c r="B510" s="364"/>
      <c r="C510" s="356"/>
      <c r="D510" s="357"/>
      <c r="E510" s="467"/>
      <c r="F510" s="467"/>
      <c r="G510" s="14"/>
      <c r="H510" s="14"/>
    </row>
    <row r="511" spans="1:8" ht="12.9">
      <c r="A511" s="356"/>
      <c r="B511" s="364"/>
      <c r="C511" s="356"/>
      <c r="D511" s="357"/>
      <c r="E511" s="467"/>
      <c r="F511" s="467"/>
      <c r="G511" s="14"/>
      <c r="H511" s="14"/>
    </row>
    <row r="512" spans="1:8" ht="12.9">
      <c r="A512" s="356"/>
      <c r="B512" s="364"/>
      <c r="C512" s="356"/>
      <c r="D512" s="357"/>
      <c r="E512" s="467"/>
      <c r="F512" s="467"/>
      <c r="G512" s="14"/>
      <c r="H512" s="14"/>
    </row>
    <row r="513" spans="1:8" ht="13.3">
      <c r="A513" s="355"/>
      <c r="B513" s="355"/>
      <c r="C513" s="355"/>
      <c r="D513" s="358"/>
      <c r="E513" s="466"/>
      <c r="F513" s="466"/>
      <c r="G513" s="14"/>
      <c r="H513" s="14"/>
    </row>
    <row r="514" spans="1:8" ht="12.9">
      <c r="A514" s="356"/>
      <c r="B514" s="364"/>
      <c r="C514" s="356"/>
      <c r="D514" s="357"/>
      <c r="E514" s="467"/>
      <c r="F514" s="467"/>
      <c r="G514" s="14"/>
      <c r="H514" s="14"/>
    </row>
    <row r="515" spans="1:8" ht="12.9">
      <c r="A515" s="356"/>
      <c r="B515" s="364"/>
      <c r="C515" s="356"/>
      <c r="D515" s="357"/>
      <c r="E515" s="467"/>
      <c r="F515" s="467"/>
      <c r="G515" s="14"/>
      <c r="H515" s="14"/>
    </row>
    <row r="516" spans="1:8" ht="12.9">
      <c r="A516" s="356"/>
      <c r="B516" s="364"/>
      <c r="C516" s="356"/>
      <c r="D516" s="357"/>
      <c r="E516" s="467"/>
      <c r="F516" s="467"/>
      <c r="G516" s="14"/>
      <c r="H516" s="14"/>
    </row>
    <row r="517" spans="1:8" ht="12.9">
      <c r="A517" s="356"/>
      <c r="B517" s="364"/>
      <c r="C517" s="356"/>
      <c r="D517" s="357"/>
      <c r="E517" s="467"/>
      <c r="F517" s="467"/>
      <c r="G517" s="14"/>
      <c r="H517" s="14"/>
    </row>
    <row r="518" spans="1:8" ht="13.3">
      <c r="A518" s="355"/>
      <c r="B518" s="355"/>
      <c r="C518" s="355"/>
      <c r="D518" s="358"/>
      <c r="E518" s="466"/>
      <c r="F518" s="466"/>
      <c r="G518" s="14"/>
      <c r="H518" s="14"/>
    </row>
    <row r="519" spans="1:8" ht="12.9">
      <c r="A519" s="356"/>
      <c r="B519" s="364"/>
      <c r="C519" s="356"/>
      <c r="D519" s="357"/>
      <c r="E519" s="467"/>
      <c r="F519" s="467"/>
      <c r="G519" s="14"/>
      <c r="H519" s="14"/>
    </row>
    <row r="520" spans="1:8" ht="12.9">
      <c r="A520" s="356"/>
      <c r="B520" s="364"/>
      <c r="C520" s="356"/>
      <c r="D520" s="357"/>
      <c r="E520" s="467"/>
      <c r="F520" s="467"/>
      <c r="G520" s="14"/>
      <c r="H520" s="14"/>
    </row>
    <row r="521" spans="1:8" ht="12.9">
      <c r="A521" s="356"/>
      <c r="B521" s="364"/>
      <c r="C521" s="356"/>
      <c r="D521" s="357"/>
      <c r="E521" s="467"/>
      <c r="F521" s="467"/>
      <c r="G521" s="14"/>
      <c r="H521" s="14"/>
    </row>
    <row r="522" spans="1:8" ht="12.9">
      <c r="A522" s="356"/>
      <c r="B522" s="364"/>
      <c r="C522" s="356"/>
      <c r="D522" s="357"/>
      <c r="E522" s="467"/>
      <c r="F522" s="467"/>
      <c r="G522" s="14"/>
      <c r="H522" s="14"/>
    </row>
    <row r="523" spans="1:8" ht="13.3">
      <c r="A523" s="355"/>
      <c r="B523" s="355"/>
      <c r="C523" s="355"/>
      <c r="D523" s="358"/>
      <c r="E523" s="466"/>
      <c r="F523" s="466"/>
      <c r="G523" s="14"/>
      <c r="H523" s="14"/>
    </row>
    <row r="524" spans="1:8" ht="12.9">
      <c r="A524" s="356"/>
      <c r="B524" s="364"/>
      <c r="C524" s="356"/>
      <c r="D524" s="357"/>
      <c r="E524" s="467"/>
      <c r="F524" s="467"/>
      <c r="G524" s="14"/>
      <c r="H524" s="14"/>
    </row>
    <row r="525" spans="1:8" ht="12.9">
      <c r="A525" s="356"/>
      <c r="B525" s="364"/>
      <c r="C525" s="356"/>
      <c r="D525" s="357"/>
      <c r="E525" s="467"/>
      <c r="F525" s="467"/>
      <c r="G525" s="14"/>
      <c r="H525" s="14"/>
    </row>
    <row r="526" spans="1:8" ht="12.9">
      <c r="A526" s="356"/>
      <c r="B526" s="364"/>
      <c r="C526" s="356"/>
      <c r="D526" s="357"/>
      <c r="E526" s="467"/>
      <c r="F526" s="467"/>
      <c r="G526" s="14"/>
      <c r="H526" s="14"/>
    </row>
    <row r="527" spans="1:8" ht="12.9">
      <c r="A527" s="356"/>
      <c r="B527" s="364"/>
      <c r="C527" s="356"/>
      <c r="D527" s="357"/>
      <c r="E527" s="467"/>
      <c r="F527" s="467"/>
      <c r="G527" s="14"/>
      <c r="H527" s="14"/>
    </row>
    <row r="528" spans="1:8" ht="13.3">
      <c r="A528" s="355"/>
      <c r="B528" s="355"/>
      <c r="C528" s="355"/>
      <c r="D528" s="358"/>
      <c r="E528" s="466"/>
      <c r="F528" s="466"/>
      <c r="G528" s="14"/>
      <c r="H528" s="14"/>
    </row>
    <row r="529" spans="1:8" ht="12.9">
      <c r="A529" s="356"/>
      <c r="B529" s="364"/>
      <c r="C529" s="356"/>
      <c r="D529" s="357"/>
      <c r="E529" s="467"/>
      <c r="F529" s="467"/>
      <c r="G529" s="14"/>
      <c r="H529" s="14"/>
    </row>
    <row r="530" spans="1:8" ht="12.9">
      <c r="A530" s="356"/>
      <c r="B530" s="364"/>
      <c r="C530" s="356"/>
      <c r="D530" s="357"/>
      <c r="E530" s="467"/>
      <c r="F530" s="467"/>
      <c r="G530" s="14"/>
      <c r="H530" s="14"/>
    </row>
    <row r="531" spans="1:8" ht="12.9">
      <c r="A531" s="356"/>
      <c r="B531" s="364"/>
      <c r="C531" s="356"/>
      <c r="D531" s="357"/>
      <c r="E531" s="467"/>
      <c r="F531" s="467"/>
      <c r="G531" s="14"/>
      <c r="H531" s="14"/>
    </row>
    <row r="532" spans="1:8" ht="12.9">
      <c r="A532" s="356"/>
      <c r="B532" s="364"/>
      <c r="C532" s="356"/>
      <c r="D532" s="357"/>
      <c r="E532" s="467"/>
      <c r="F532" s="467"/>
      <c r="G532" s="14"/>
      <c r="H532" s="14"/>
    </row>
    <row r="533" spans="1:8" ht="13.3">
      <c r="A533" s="355"/>
      <c r="B533" s="355"/>
      <c r="C533" s="355"/>
      <c r="D533" s="358"/>
      <c r="E533" s="466"/>
      <c r="F533" s="466"/>
      <c r="G533" s="14"/>
      <c r="H533" s="14"/>
    </row>
    <row r="534" spans="1:8" ht="12.9">
      <c r="A534" s="356"/>
      <c r="B534" s="364"/>
      <c r="C534" s="356"/>
      <c r="D534" s="357"/>
      <c r="E534" s="467"/>
      <c r="F534" s="467"/>
      <c r="G534" s="14"/>
      <c r="H534" s="14"/>
    </row>
    <row r="535" spans="1:8" ht="12.9">
      <c r="A535" s="356"/>
      <c r="B535" s="364"/>
      <c r="C535" s="356"/>
      <c r="D535" s="357"/>
      <c r="E535" s="467"/>
      <c r="F535" s="467"/>
      <c r="G535" s="14"/>
      <c r="H535" s="14"/>
    </row>
    <row r="536" spans="1:8" ht="12.9">
      <c r="A536" s="356"/>
      <c r="B536" s="364"/>
      <c r="C536" s="356"/>
      <c r="D536" s="357"/>
      <c r="E536" s="467"/>
      <c r="F536" s="467"/>
      <c r="G536" s="14"/>
      <c r="H536" s="14"/>
    </row>
    <row r="537" spans="1:8" ht="12.9">
      <c r="A537" s="356"/>
      <c r="B537" s="364"/>
      <c r="C537" s="356"/>
      <c r="D537" s="357"/>
      <c r="E537" s="467"/>
      <c r="F537" s="467"/>
      <c r="G537" s="14"/>
      <c r="H537" s="14"/>
    </row>
    <row r="538" spans="1:8" ht="13.3">
      <c r="A538" s="355"/>
      <c r="B538" s="355"/>
      <c r="C538" s="355"/>
      <c r="D538" s="358"/>
      <c r="E538" s="466"/>
      <c r="F538" s="466"/>
      <c r="G538" s="14"/>
      <c r="H538" s="14"/>
    </row>
    <row r="539" spans="1:8" ht="12.9">
      <c r="A539" s="356"/>
      <c r="B539" s="364"/>
      <c r="C539" s="356"/>
      <c r="D539" s="357"/>
      <c r="E539" s="467"/>
      <c r="F539" s="467"/>
      <c r="G539" s="14"/>
      <c r="H539" s="14"/>
    </row>
    <row r="540" spans="1:8" ht="12.9">
      <c r="A540" s="356"/>
      <c r="B540" s="364"/>
      <c r="C540" s="356"/>
      <c r="D540" s="357"/>
      <c r="E540" s="467"/>
      <c r="F540" s="467"/>
      <c r="G540" s="14"/>
      <c r="H540" s="14"/>
    </row>
    <row r="541" spans="1:8" ht="12.9">
      <c r="A541" s="356"/>
      <c r="B541" s="364"/>
      <c r="C541" s="356"/>
      <c r="D541" s="357"/>
      <c r="E541" s="467"/>
      <c r="F541" s="467"/>
      <c r="G541" s="14"/>
      <c r="H541" s="14"/>
    </row>
    <row r="542" spans="1:8" ht="12.9">
      <c r="A542" s="356"/>
      <c r="B542" s="364"/>
      <c r="C542" s="356"/>
      <c r="D542" s="357"/>
      <c r="E542" s="467"/>
      <c r="F542" s="467"/>
      <c r="G542" s="14"/>
      <c r="H542" s="14"/>
    </row>
    <row r="543" spans="1:8" ht="13.3">
      <c r="A543" s="355"/>
      <c r="B543" s="355"/>
      <c r="C543" s="355"/>
      <c r="D543" s="358"/>
      <c r="E543" s="466"/>
      <c r="F543" s="466"/>
      <c r="G543" s="14"/>
      <c r="H543" s="14"/>
    </row>
    <row r="544" spans="1:8" ht="12.9">
      <c r="A544" s="356"/>
      <c r="B544" s="364"/>
      <c r="C544" s="356"/>
      <c r="D544" s="357"/>
      <c r="E544" s="467"/>
      <c r="F544" s="467"/>
      <c r="G544" s="14"/>
      <c r="H544" s="14"/>
    </row>
    <row r="545" spans="1:8" ht="12.9">
      <c r="A545" s="356"/>
      <c r="B545" s="364"/>
      <c r="C545" s="356"/>
      <c r="D545" s="357"/>
      <c r="E545" s="467"/>
      <c r="F545" s="467"/>
      <c r="G545" s="14"/>
      <c r="H545" s="14"/>
    </row>
    <row r="546" spans="1:8" ht="12.9">
      <c r="A546" s="356"/>
      <c r="B546" s="364"/>
      <c r="C546" s="356"/>
      <c r="D546" s="357"/>
      <c r="E546" s="467"/>
      <c r="F546" s="467"/>
      <c r="G546" s="14"/>
      <c r="H546" s="14"/>
    </row>
    <row r="547" spans="1:8" ht="12.9">
      <c r="A547" s="356"/>
      <c r="B547" s="364"/>
      <c r="C547" s="356"/>
      <c r="D547" s="357"/>
      <c r="E547" s="467"/>
      <c r="F547" s="467"/>
      <c r="G547" s="14"/>
      <c r="H547" s="14"/>
    </row>
    <row r="548" spans="1:8" ht="13.3">
      <c r="A548" s="355"/>
      <c r="B548" s="355"/>
      <c r="C548" s="355"/>
      <c r="D548" s="358"/>
      <c r="E548" s="466"/>
      <c r="F548" s="466"/>
      <c r="G548" s="14"/>
      <c r="H548" s="14"/>
    </row>
    <row r="549" spans="1:8" ht="12.9">
      <c r="A549" s="356"/>
      <c r="B549" s="364"/>
      <c r="C549" s="356"/>
      <c r="D549" s="357"/>
      <c r="E549" s="467"/>
      <c r="F549" s="467"/>
      <c r="G549" s="14"/>
      <c r="H549" s="14"/>
    </row>
    <row r="550" spans="1:8" ht="12.9">
      <c r="A550" s="356"/>
      <c r="B550" s="364"/>
      <c r="C550" s="356"/>
      <c r="D550" s="357"/>
      <c r="E550" s="467"/>
      <c r="F550" s="467"/>
      <c r="G550" s="14"/>
      <c r="H550" s="14"/>
    </row>
    <row r="551" spans="1:8" ht="12.9">
      <c r="A551" s="356"/>
      <c r="B551" s="364"/>
      <c r="C551" s="356"/>
      <c r="D551" s="357"/>
      <c r="E551" s="467"/>
      <c r="F551" s="467"/>
      <c r="G551" s="14"/>
      <c r="H551" s="14"/>
    </row>
    <row r="552" spans="1:8" ht="12.9">
      <c r="A552" s="356"/>
      <c r="B552" s="364"/>
      <c r="C552" s="356"/>
      <c r="D552" s="357"/>
      <c r="E552" s="467"/>
      <c r="F552" s="467"/>
      <c r="G552" s="14"/>
      <c r="H552" s="14"/>
    </row>
    <row r="553" spans="1:8" ht="13.3">
      <c r="A553" s="355"/>
      <c r="B553" s="355"/>
      <c r="C553" s="355"/>
      <c r="D553" s="358"/>
      <c r="E553" s="466"/>
      <c r="F553" s="466"/>
      <c r="G553" s="14"/>
      <c r="H553" s="14"/>
    </row>
    <row r="554" spans="1:8" ht="12.9">
      <c r="A554" s="356"/>
      <c r="B554" s="364"/>
      <c r="C554" s="356"/>
      <c r="D554" s="357"/>
      <c r="E554" s="467"/>
      <c r="F554" s="467"/>
      <c r="G554" s="14"/>
      <c r="H554" s="14"/>
    </row>
    <row r="555" spans="1:8" ht="12.9">
      <c r="A555" s="356"/>
      <c r="B555" s="364"/>
      <c r="C555" s="356"/>
      <c r="D555" s="357"/>
      <c r="E555" s="467"/>
      <c r="F555" s="467"/>
      <c r="G555" s="14"/>
      <c r="H555" s="14"/>
    </row>
    <row r="556" spans="1:8" ht="12.9">
      <c r="A556" s="356"/>
      <c r="B556" s="364"/>
      <c r="C556" s="356"/>
      <c r="D556" s="357"/>
      <c r="E556" s="467"/>
      <c r="F556" s="467"/>
      <c r="G556" s="14"/>
      <c r="H556" s="14"/>
    </row>
    <row r="557" spans="1:8" ht="12.9">
      <c r="A557" s="356"/>
      <c r="B557" s="364"/>
      <c r="C557" s="356"/>
      <c r="D557" s="357"/>
      <c r="E557" s="467"/>
      <c r="F557" s="467"/>
      <c r="G557" s="14"/>
      <c r="H557" s="14"/>
    </row>
    <row r="558" spans="1:8" ht="13.3">
      <c r="A558" s="355"/>
      <c r="B558" s="355"/>
      <c r="C558" s="355"/>
      <c r="D558" s="358"/>
      <c r="E558" s="466"/>
      <c r="F558" s="466"/>
      <c r="G558" s="14"/>
      <c r="H558" s="14"/>
    </row>
    <row r="559" spans="1:8" ht="12.9">
      <c r="A559" s="356"/>
      <c r="B559" s="364"/>
      <c r="C559" s="356"/>
      <c r="D559" s="357"/>
      <c r="E559" s="467"/>
      <c r="F559" s="467"/>
      <c r="G559" s="14"/>
      <c r="H559" s="14"/>
    </row>
    <row r="560" spans="1:8" ht="12.9">
      <c r="A560" s="356"/>
      <c r="B560" s="364"/>
      <c r="C560" s="356"/>
      <c r="D560" s="357"/>
      <c r="E560" s="467"/>
      <c r="F560" s="467"/>
      <c r="G560" s="14"/>
      <c r="H560" s="14"/>
    </row>
    <row r="561" spans="1:8" ht="12.9">
      <c r="A561" s="356"/>
      <c r="B561" s="364"/>
      <c r="C561" s="356"/>
      <c r="D561" s="357"/>
      <c r="E561" s="467"/>
      <c r="F561" s="467"/>
      <c r="G561" s="14"/>
      <c r="H561" s="14"/>
    </row>
    <row r="562" spans="1:8" ht="12.9">
      <c r="A562" s="356"/>
      <c r="B562" s="364"/>
      <c r="C562" s="356"/>
      <c r="D562" s="357"/>
      <c r="E562" s="467"/>
      <c r="F562" s="467"/>
      <c r="G562" s="14"/>
      <c r="H562" s="14"/>
    </row>
    <row r="563" spans="1:8" ht="13.3">
      <c r="A563" s="355"/>
      <c r="B563" s="355"/>
      <c r="C563" s="355"/>
      <c r="D563" s="358"/>
      <c r="E563" s="466"/>
      <c r="F563" s="466"/>
      <c r="G563" s="14"/>
      <c r="H563" s="14"/>
    </row>
    <row r="564" spans="1:8" ht="12.9">
      <c r="A564" s="356"/>
      <c r="B564" s="364"/>
      <c r="C564" s="356"/>
      <c r="D564" s="357"/>
      <c r="E564" s="467"/>
      <c r="F564" s="467"/>
      <c r="G564" s="14"/>
      <c r="H564" s="14"/>
    </row>
    <row r="565" spans="1:8" ht="12.9">
      <c r="A565" s="356"/>
      <c r="B565" s="364"/>
      <c r="C565" s="356"/>
      <c r="D565" s="357"/>
      <c r="E565" s="467"/>
      <c r="F565" s="467"/>
      <c r="G565" s="14"/>
      <c r="H565" s="14"/>
    </row>
    <row r="566" spans="1:8" ht="12.9">
      <c r="A566" s="356"/>
      <c r="B566" s="364"/>
      <c r="C566" s="356"/>
      <c r="D566" s="357"/>
      <c r="E566" s="467"/>
      <c r="F566" s="467"/>
      <c r="G566" s="14"/>
      <c r="H566" s="14"/>
    </row>
    <row r="567" spans="1:8" ht="12.9">
      <c r="A567" s="356"/>
      <c r="B567" s="364"/>
      <c r="C567" s="356"/>
      <c r="D567" s="357"/>
      <c r="E567" s="467"/>
      <c r="F567" s="467"/>
      <c r="G567" s="14"/>
      <c r="H567" s="14"/>
    </row>
    <row r="568" spans="1:8" ht="13.3">
      <c r="A568" s="355"/>
      <c r="B568" s="355"/>
      <c r="C568" s="355"/>
      <c r="D568" s="358"/>
      <c r="E568" s="466"/>
      <c r="F568" s="466"/>
      <c r="G568" s="14"/>
      <c r="H568" s="14"/>
    </row>
    <row r="569" spans="1:8" ht="12.9">
      <c r="A569" s="356"/>
      <c r="B569" s="364"/>
      <c r="C569" s="356"/>
      <c r="D569" s="357"/>
      <c r="E569" s="467"/>
      <c r="F569" s="467"/>
      <c r="G569" s="14"/>
      <c r="H569" s="14"/>
    </row>
    <row r="570" spans="1:8" ht="12.9">
      <c r="A570" s="356"/>
      <c r="B570" s="364"/>
      <c r="C570" s="356"/>
      <c r="D570" s="357"/>
      <c r="E570" s="467"/>
      <c r="F570" s="467"/>
      <c r="G570" s="14"/>
      <c r="H570" s="14"/>
    </row>
    <row r="571" spans="1:8" ht="12.9">
      <c r="A571" s="356"/>
      <c r="B571" s="364"/>
      <c r="C571" s="356"/>
      <c r="D571" s="357"/>
      <c r="E571" s="467"/>
      <c r="F571" s="467"/>
      <c r="G571" s="14"/>
      <c r="H571" s="14"/>
    </row>
    <row r="572" spans="1:8" ht="12.9">
      <c r="A572" s="356"/>
      <c r="B572" s="364"/>
      <c r="C572" s="356"/>
      <c r="D572" s="357"/>
      <c r="E572" s="467"/>
      <c r="F572" s="467"/>
      <c r="G572" s="14"/>
      <c r="H572" s="14"/>
    </row>
    <row r="573" spans="1:8" ht="13.3">
      <c r="A573" s="355"/>
      <c r="B573" s="355"/>
      <c r="C573" s="355"/>
      <c r="D573" s="358"/>
      <c r="E573" s="466"/>
      <c r="F573" s="466"/>
      <c r="G573" s="14"/>
      <c r="H573" s="14"/>
    </row>
    <row r="574" spans="1:8" ht="12.9">
      <c r="A574" s="356"/>
      <c r="B574" s="364"/>
      <c r="C574" s="356"/>
      <c r="D574" s="357"/>
      <c r="E574" s="467"/>
      <c r="F574" s="467"/>
      <c r="G574" s="14"/>
      <c r="H574" s="14"/>
    </row>
    <row r="575" spans="1:8" ht="12.9">
      <c r="A575" s="356"/>
      <c r="B575" s="364"/>
      <c r="C575" s="356"/>
      <c r="D575" s="357"/>
      <c r="E575" s="467"/>
      <c r="F575" s="467"/>
      <c r="G575" s="14"/>
      <c r="H575" s="14"/>
    </row>
    <row r="576" spans="1:8" ht="12.9">
      <c r="A576" s="356"/>
      <c r="B576" s="364"/>
      <c r="C576" s="356"/>
      <c r="D576" s="357"/>
      <c r="E576" s="467"/>
      <c r="F576" s="467"/>
      <c r="G576" s="14"/>
      <c r="H576" s="14"/>
    </row>
    <row r="577" spans="1:8" ht="12.9">
      <c r="A577" s="356"/>
      <c r="B577" s="364"/>
      <c r="C577" s="356"/>
      <c r="D577" s="357"/>
      <c r="E577" s="467"/>
      <c r="F577" s="467"/>
      <c r="G577" s="14"/>
      <c r="H577" s="14"/>
    </row>
    <row r="578" spans="1:8" ht="13.3">
      <c r="A578" s="355"/>
      <c r="B578" s="355"/>
      <c r="C578" s="355"/>
      <c r="D578" s="358"/>
      <c r="E578" s="466"/>
      <c r="F578" s="466"/>
      <c r="G578" s="14"/>
      <c r="H578" s="14"/>
    </row>
    <row r="579" spans="1:8" ht="12.9">
      <c r="A579" s="356"/>
      <c r="B579" s="364"/>
      <c r="C579" s="356"/>
      <c r="D579" s="357"/>
      <c r="E579" s="467"/>
      <c r="F579" s="467"/>
      <c r="G579" s="14"/>
      <c r="H579" s="14"/>
    </row>
    <row r="580" spans="1:8" ht="12.9">
      <c r="A580" s="356"/>
      <c r="B580" s="364"/>
      <c r="C580" s="356"/>
      <c r="D580" s="357"/>
      <c r="E580" s="467"/>
      <c r="F580" s="467"/>
      <c r="G580" s="14"/>
      <c r="H580" s="14"/>
    </row>
    <row r="581" spans="1:8" ht="12.9">
      <c r="A581" s="356"/>
      <c r="B581" s="364"/>
      <c r="C581" s="356"/>
      <c r="D581" s="357"/>
      <c r="E581" s="467"/>
      <c r="F581" s="467"/>
      <c r="G581" s="14"/>
      <c r="H581" s="14"/>
    </row>
    <row r="582" spans="1:8" ht="12.9">
      <c r="A582" s="356"/>
      <c r="B582" s="364"/>
      <c r="C582" s="356"/>
      <c r="D582" s="357"/>
      <c r="E582" s="467"/>
      <c r="F582" s="467"/>
      <c r="G582" s="14"/>
      <c r="H582" s="14"/>
    </row>
    <row r="583" spans="1:8" ht="13.3">
      <c r="A583" s="355"/>
      <c r="B583" s="355"/>
      <c r="C583" s="355"/>
      <c r="D583" s="358"/>
      <c r="E583" s="466"/>
      <c r="F583" s="466"/>
      <c r="G583" s="14"/>
      <c r="H583" s="14"/>
    </row>
    <row r="584" spans="1:8" ht="12.9">
      <c r="A584" s="356"/>
      <c r="B584" s="364"/>
      <c r="C584" s="356"/>
      <c r="D584" s="357"/>
      <c r="E584" s="467"/>
      <c r="F584" s="467"/>
      <c r="G584" s="14"/>
      <c r="H584" s="14"/>
    </row>
    <row r="585" spans="1:8" ht="12.9">
      <c r="A585" s="356"/>
      <c r="B585" s="364"/>
      <c r="C585" s="356"/>
      <c r="D585" s="357"/>
      <c r="E585" s="467"/>
      <c r="F585" s="467"/>
      <c r="G585" s="14"/>
      <c r="H585" s="14"/>
    </row>
    <row r="586" spans="1:8" ht="12.9">
      <c r="A586" s="356"/>
      <c r="B586" s="364"/>
      <c r="C586" s="356"/>
      <c r="D586" s="357"/>
      <c r="E586" s="467"/>
      <c r="F586" s="467"/>
      <c r="G586" s="14"/>
      <c r="H586" s="14"/>
    </row>
    <row r="587" spans="1:8" ht="12.9">
      <c r="A587" s="356"/>
      <c r="B587" s="364"/>
      <c r="C587" s="356"/>
      <c r="D587" s="357"/>
      <c r="E587" s="467"/>
      <c r="F587" s="467"/>
      <c r="G587" s="14"/>
      <c r="H587" s="14"/>
    </row>
    <row r="588" spans="1:8" ht="13.3">
      <c r="A588" s="355"/>
      <c r="B588" s="355"/>
      <c r="C588" s="355"/>
      <c r="D588" s="358"/>
      <c r="E588" s="466"/>
      <c r="F588" s="466"/>
      <c r="G588" s="14"/>
      <c r="H588" s="14"/>
    </row>
    <row r="589" spans="1:8" ht="12.9">
      <c r="A589" s="356"/>
      <c r="B589" s="364"/>
      <c r="C589" s="356"/>
      <c r="D589" s="357"/>
      <c r="E589" s="467"/>
      <c r="F589" s="467"/>
      <c r="G589" s="14"/>
      <c r="H589" s="14"/>
    </row>
    <row r="590" spans="1:8" ht="12.9">
      <c r="A590" s="356"/>
      <c r="B590" s="364"/>
      <c r="C590" s="356"/>
      <c r="D590" s="357"/>
      <c r="E590" s="467"/>
      <c r="F590" s="467"/>
      <c r="G590" s="14"/>
      <c r="H590" s="14"/>
    </row>
    <row r="591" spans="1:8" ht="12.9">
      <c r="A591" s="356"/>
      <c r="B591" s="364"/>
      <c r="C591" s="356"/>
      <c r="D591" s="357"/>
      <c r="E591" s="467"/>
      <c r="F591" s="467"/>
      <c r="G591" s="14"/>
      <c r="H591" s="14"/>
    </row>
    <row r="592" spans="1:8" ht="12.9">
      <c r="A592" s="356"/>
      <c r="B592" s="364"/>
      <c r="C592" s="356"/>
      <c r="D592" s="357"/>
      <c r="E592" s="467"/>
      <c r="F592" s="467"/>
      <c r="G592" s="14"/>
      <c r="H592" s="14"/>
    </row>
    <row r="593" spans="1:8" ht="13.3">
      <c r="A593" s="355"/>
      <c r="B593" s="355"/>
      <c r="C593" s="355"/>
      <c r="D593" s="358"/>
      <c r="E593" s="466"/>
      <c r="F593" s="466"/>
      <c r="G593" s="14"/>
      <c r="H593" s="14"/>
    </row>
    <row r="594" spans="1:8" ht="12.9">
      <c r="A594" s="356"/>
      <c r="B594" s="364"/>
      <c r="C594" s="356"/>
      <c r="D594" s="357"/>
      <c r="E594" s="467"/>
      <c r="F594" s="467"/>
      <c r="G594" s="14"/>
      <c r="H594" s="14"/>
    </row>
    <row r="595" spans="1:8" ht="12.9">
      <c r="A595" s="356"/>
      <c r="B595" s="364"/>
      <c r="C595" s="356"/>
      <c r="D595" s="357"/>
      <c r="E595" s="467"/>
      <c r="F595" s="467"/>
      <c r="G595" s="14"/>
      <c r="H595" s="14"/>
    </row>
    <row r="596" spans="1:8" ht="12.9">
      <c r="A596" s="356"/>
      <c r="B596" s="364"/>
      <c r="C596" s="356"/>
      <c r="D596" s="357"/>
      <c r="E596" s="467"/>
      <c r="F596" s="467"/>
      <c r="G596" s="14"/>
      <c r="H596" s="14"/>
    </row>
    <row r="597" spans="1:8" ht="12.9">
      <c r="A597" s="356"/>
      <c r="B597" s="364"/>
      <c r="C597" s="356"/>
      <c r="D597" s="357"/>
      <c r="E597" s="467"/>
      <c r="F597" s="467"/>
      <c r="G597" s="14"/>
      <c r="H597" s="14"/>
    </row>
    <row r="598" spans="1:8" ht="13.3">
      <c r="A598" s="355"/>
      <c r="B598" s="355"/>
      <c r="C598" s="355"/>
      <c r="D598" s="358"/>
      <c r="E598" s="466"/>
      <c r="F598" s="466"/>
      <c r="G598" s="14"/>
      <c r="H598" s="14"/>
    </row>
    <row r="599" spans="1:8" ht="12.9">
      <c r="A599" s="356"/>
      <c r="B599" s="364"/>
      <c r="C599" s="356"/>
      <c r="D599" s="357"/>
      <c r="E599" s="467"/>
      <c r="F599" s="467"/>
      <c r="G599" s="14"/>
      <c r="H599" s="14"/>
    </row>
    <row r="600" spans="1:8" ht="12.9">
      <c r="A600" s="356"/>
      <c r="B600" s="364"/>
      <c r="C600" s="356"/>
      <c r="D600" s="357"/>
      <c r="E600" s="467"/>
      <c r="F600" s="467"/>
      <c r="G600" s="14"/>
      <c r="H600" s="14"/>
    </row>
    <row r="601" spans="1:8" ht="12.9">
      <c r="A601" s="356"/>
      <c r="B601" s="364"/>
      <c r="C601" s="356"/>
      <c r="D601" s="357"/>
      <c r="E601" s="467"/>
      <c r="F601" s="467"/>
      <c r="G601" s="14"/>
      <c r="H601" s="14"/>
    </row>
    <row r="602" spans="1:8" ht="12.9">
      <c r="A602" s="356"/>
      <c r="B602" s="364"/>
      <c r="C602" s="356"/>
      <c r="D602" s="357"/>
      <c r="E602" s="467"/>
      <c r="F602" s="467"/>
      <c r="G602" s="14"/>
      <c r="H602" s="14"/>
    </row>
    <row r="603" spans="1:8" ht="13.3">
      <c r="A603" s="355"/>
      <c r="B603" s="355"/>
      <c r="C603" s="355"/>
      <c r="D603" s="358"/>
      <c r="E603" s="466"/>
      <c r="F603" s="466"/>
      <c r="G603" s="14"/>
      <c r="H603" s="14"/>
    </row>
    <row r="604" spans="1:8" ht="12.9">
      <c r="A604" s="356"/>
      <c r="B604" s="364"/>
      <c r="C604" s="356"/>
      <c r="D604" s="357"/>
      <c r="E604" s="467"/>
      <c r="F604" s="467"/>
      <c r="G604" s="14"/>
      <c r="H604" s="14"/>
    </row>
    <row r="605" spans="1:8" ht="12.9">
      <c r="A605" s="356"/>
      <c r="B605" s="364"/>
      <c r="C605" s="356"/>
      <c r="D605" s="357"/>
      <c r="E605" s="467"/>
      <c r="F605" s="467"/>
      <c r="G605" s="14"/>
      <c r="H605" s="14"/>
    </row>
    <row r="606" spans="1:8" ht="12.9">
      <c r="A606" s="356"/>
      <c r="B606" s="364"/>
      <c r="C606" s="356"/>
      <c r="D606" s="357"/>
      <c r="E606" s="467"/>
      <c r="F606" s="467"/>
      <c r="G606" s="14"/>
      <c r="H606" s="14"/>
    </row>
    <row r="607" spans="1:8" ht="12.9">
      <c r="A607" s="356"/>
      <c r="B607" s="364"/>
      <c r="C607" s="356"/>
      <c r="D607" s="357"/>
      <c r="E607" s="467"/>
      <c r="F607" s="467"/>
      <c r="G607" s="14"/>
      <c r="H607" s="14"/>
    </row>
    <row r="608" spans="1:8" ht="13.3">
      <c r="A608" s="355"/>
      <c r="B608" s="355"/>
      <c r="C608" s="355"/>
      <c r="D608" s="358"/>
      <c r="E608" s="466"/>
      <c r="F608" s="466"/>
      <c r="G608" s="14"/>
      <c r="H608" s="14"/>
    </row>
    <row r="609" spans="1:8" ht="12.9">
      <c r="A609" s="356"/>
      <c r="B609" s="364"/>
      <c r="C609" s="356"/>
      <c r="D609" s="357"/>
      <c r="E609" s="467"/>
      <c r="F609" s="467"/>
      <c r="G609" s="14"/>
      <c r="H609" s="14"/>
    </row>
    <row r="610" spans="1:8" ht="12.9">
      <c r="A610" s="356"/>
      <c r="B610" s="364"/>
      <c r="C610" s="356"/>
      <c r="D610" s="357"/>
      <c r="E610" s="467"/>
      <c r="F610" s="467"/>
      <c r="G610" s="14"/>
      <c r="H610" s="14"/>
    </row>
    <row r="611" spans="1:8" ht="12.9">
      <c r="A611" s="356"/>
      <c r="B611" s="364"/>
      <c r="C611" s="356"/>
      <c r="D611" s="357"/>
      <c r="E611" s="467"/>
      <c r="F611" s="467"/>
      <c r="G611" s="14"/>
      <c r="H611" s="14"/>
    </row>
    <row r="612" spans="1:8" ht="12.9">
      <c r="A612" s="356"/>
      <c r="B612" s="364"/>
      <c r="C612" s="356"/>
      <c r="D612" s="357"/>
      <c r="E612" s="467"/>
      <c r="F612" s="467"/>
      <c r="G612" s="14"/>
      <c r="H612" s="14"/>
    </row>
    <row r="613" spans="1:8" ht="13.3">
      <c r="A613" s="355"/>
      <c r="B613" s="355"/>
      <c r="C613" s="355"/>
      <c r="D613" s="358"/>
      <c r="E613" s="466"/>
      <c r="F613" s="466"/>
      <c r="G613" s="14"/>
      <c r="H613" s="14"/>
    </row>
    <row r="614" spans="1:8" ht="12.9">
      <c r="A614" s="356"/>
      <c r="B614" s="364"/>
      <c r="C614" s="356"/>
      <c r="D614" s="357"/>
      <c r="E614" s="467"/>
      <c r="F614" s="467"/>
      <c r="G614" s="14"/>
      <c r="H614" s="14"/>
    </row>
    <row r="615" spans="1:8" ht="12.9">
      <c r="A615" s="356"/>
      <c r="B615" s="364"/>
      <c r="C615" s="356"/>
      <c r="D615" s="357"/>
      <c r="E615" s="467"/>
      <c r="F615" s="467"/>
      <c r="G615" s="14"/>
      <c r="H615" s="14"/>
    </row>
    <row r="616" spans="1:8" ht="12.9">
      <c r="A616" s="356"/>
      <c r="B616" s="364"/>
      <c r="C616" s="356"/>
      <c r="D616" s="357"/>
      <c r="E616" s="467"/>
      <c r="F616" s="467"/>
      <c r="G616" s="14"/>
      <c r="H616" s="14"/>
    </row>
    <row r="617" spans="1:8" ht="12.9">
      <c r="A617" s="356"/>
      <c r="B617" s="364"/>
      <c r="C617" s="356"/>
      <c r="D617" s="357"/>
      <c r="E617" s="467"/>
      <c r="F617" s="467"/>
      <c r="G617" s="14"/>
      <c r="H617" s="14"/>
    </row>
    <row r="618" spans="1:8" ht="13.3">
      <c r="A618" s="355"/>
      <c r="B618" s="355"/>
      <c r="C618" s="355"/>
      <c r="D618" s="358"/>
      <c r="E618" s="466"/>
      <c r="F618" s="466"/>
      <c r="G618" s="14"/>
      <c r="H618" s="14"/>
    </row>
    <row r="619" spans="1:8" ht="12.9">
      <c r="A619" s="356"/>
      <c r="B619" s="364"/>
      <c r="C619" s="356"/>
      <c r="D619" s="357"/>
      <c r="E619" s="467"/>
      <c r="F619" s="467"/>
      <c r="G619" s="14"/>
      <c r="H619" s="14"/>
    </row>
    <row r="620" spans="1:8" ht="12.9">
      <c r="A620" s="356"/>
      <c r="B620" s="364"/>
      <c r="C620" s="356"/>
      <c r="D620" s="357"/>
      <c r="E620" s="467"/>
      <c r="F620" s="467"/>
      <c r="G620" s="14"/>
      <c r="H620" s="14"/>
    </row>
    <row r="621" spans="1:8" ht="12.9">
      <c r="A621" s="356"/>
      <c r="B621" s="364"/>
      <c r="C621" s="356"/>
      <c r="D621" s="357"/>
      <c r="E621" s="467"/>
      <c r="F621" s="467"/>
      <c r="G621" s="14"/>
      <c r="H621" s="14"/>
    </row>
    <row r="622" spans="1:8" ht="12.9">
      <c r="A622" s="356"/>
      <c r="B622" s="364"/>
      <c r="C622" s="356"/>
      <c r="D622" s="357"/>
      <c r="E622" s="467"/>
      <c r="F622" s="467"/>
      <c r="G622" s="14"/>
      <c r="H622" s="14"/>
    </row>
    <row r="623" spans="1:8" ht="13.3">
      <c r="A623" s="355"/>
      <c r="B623" s="355"/>
      <c r="C623" s="355"/>
      <c r="D623" s="358"/>
      <c r="E623" s="466"/>
      <c r="F623" s="466"/>
      <c r="G623" s="14"/>
      <c r="H623" s="14"/>
    </row>
    <row r="624" spans="1:8" ht="12.9">
      <c r="A624" s="356"/>
      <c r="B624" s="364"/>
      <c r="C624" s="356"/>
      <c r="D624" s="357"/>
      <c r="E624" s="467"/>
      <c r="F624" s="467"/>
      <c r="G624" s="14"/>
      <c r="H624" s="14"/>
    </row>
    <row r="625" spans="1:8" ht="12.9">
      <c r="A625" s="356"/>
      <c r="B625" s="364"/>
      <c r="C625" s="356"/>
      <c r="D625" s="357"/>
      <c r="E625" s="467"/>
      <c r="F625" s="467"/>
      <c r="G625" s="14"/>
      <c r="H625" s="14"/>
    </row>
    <row r="626" spans="1:8" ht="12.9">
      <c r="A626" s="356"/>
      <c r="B626" s="364"/>
      <c r="C626" s="356"/>
      <c r="D626" s="357"/>
      <c r="E626" s="467"/>
      <c r="F626" s="467"/>
      <c r="G626" s="14"/>
      <c r="H626" s="14"/>
    </row>
    <row r="627" spans="1:8" ht="12.9">
      <c r="A627" s="356"/>
      <c r="B627" s="364"/>
      <c r="C627" s="356"/>
      <c r="D627" s="357"/>
      <c r="E627" s="467"/>
      <c r="F627" s="467"/>
      <c r="G627" s="14"/>
      <c r="H627" s="14"/>
    </row>
    <row r="628" spans="1:8" ht="13.3">
      <c r="A628" s="355"/>
      <c r="B628" s="355"/>
      <c r="C628" s="355"/>
      <c r="D628" s="358"/>
      <c r="E628" s="466"/>
      <c r="F628" s="466"/>
      <c r="G628" s="14"/>
      <c r="H628" s="14"/>
    </row>
    <row r="629" spans="1:8" ht="12.9">
      <c r="A629" s="356"/>
      <c r="B629" s="364"/>
      <c r="C629" s="356"/>
      <c r="D629" s="357"/>
      <c r="E629" s="467"/>
      <c r="F629" s="467"/>
      <c r="G629" s="14"/>
      <c r="H629" s="14"/>
    </row>
    <row r="630" spans="1:8" ht="12.9">
      <c r="A630" s="356"/>
      <c r="B630" s="364"/>
      <c r="C630" s="356"/>
      <c r="D630" s="357"/>
      <c r="E630" s="467"/>
      <c r="F630" s="467"/>
      <c r="G630" s="14"/>
      <c r="H630" s="14"/>
    </row>
    <row r="631" spans="1:8" ht="12.9">
      <c r="A631" s="356"/>
      <c r="B631" s="364"/>
      <c r="C631" s="356"/>
      <c r="D631" s="357"/>
      <c r="E631" s="467"/>
      <c r="F631" s="467"/>
      <c r="G631" s="14"/>
      <c r="H631" s="14"/>
    </row>
    <row r="632" spans="1:8" ht="12.9">
      <c r="A632" s="356"/>
      <c r="B632" s="364"/>
      <c r="C632" s="356"/>
      <c r="D632" s="357"/>
      <c r="E632" s="467"/>
      <c r="F632" s="467"/>
      <c r="G632" s="14"/>
      <c r="H632" s="14"/>
    </row>
    <row r="633" spans="1:8" ht="13.3">
      <c r="A633" s="355"/>
      <c r="B633" s="355"/>
      <c r="C633" s="355"/>
      <c r="D633" s="358"/>
      <c r="E633" s="466"/>
      <c r="F633" s="466"/>
      <c r="G633" s="14"/>
      <c r="H633" s="14"/>
    </row>
    <row r="634" spans="1:8" ht="12.9">
      <c r="A634" s="356"/>
      <c r="B634" s="364"/>
      <c r="C634" s="356"/>
      <c r="D634" s="357"/>
      <c r="E634" s="467"/>
      <c r="F634" s="467"/>
      <c r="G634" s="14"/>
      <c r="H634" s="14"/>
    </row>
    <row r="635" spans="1:8" ht="12.9">
      <c r="A635" s="356"/>
      <c r="B635" s="364"/>
      <c r="C635" s="356"/>
      <c r="D635" s="357"/>
      <c r="E635" s="467"/>
      <c r="F635" s="467"/>
      <c r="G635" s="14"/>
      <c r="H635" s="14"/>
    </row>
    <row r="636" spans="1:8" ht="12.9">
      <c r="A636" s="356"/>
      <c r="B636" s="364"/>
      <c r="C636" s="356"/>
      <c r="D636" s="357"/>
      <c r="E636" s="467"/>
      <c r="F636" s="467"/>
      <c r="G636" s="14"/>
      <c r="H636" s="14"/>
    </row>
    <row r="637" spans="1:8" ht="12.9">
      <c r="A637" s="356"/>
      <c r="B637" s="364"/>
      <c r="C637" s="356"/>
      <c r="D637" s="357"/>
      <c r="E637" s="467"/>
      <c r="F637" s="467"/>
      <c r="G637" s="14"/>
      <c r="H637" s="14"/>
    </row>
    <row r="638" spans="1:8" ht="13.3">
      <c r="A638" s="355"/>
      <c r="B638" s="355"/>
      <c r="C638" s="355"/>
      <c r="D638" s="358"/>
      <c r="E638" s="466"/>
      <c r="F638" s="466"/>
      <c r="G638" s="14"/>
      <c r="H638" s="14"/>
    </row>
    <row r="639" spans="1:8" ht="12.9">
      <c r="A639" s="356"/>
      <c r="B639" s="364"/>
      <c r="C639" s="356"/>
      <c r="D639" s="357"/>
      <c r="E639" s="467"/>
      <c r="F639" s="467"/>
      <c r="G639" s="14"/>
      <c r="H639" s="14"/>
    </row>
    <row r="640" spans="1:8" ht="12.9">
      <c r="A640" s="356"/>
      <c r="B640" s="364"/>
      <c r="C640" s="356"/>
      <c r="D640" s="357"/>
      <c r="E640" s="467"/>
      <c r="F640" s="467"/>
      <c r="G640" s="14"/>
      <c r="H640" s="14"/>
    </row>
    <row r="641" spans="1:8" ht="12.9">
      <c r="A641" s="356"/>
      <c r="B641" s="364"/>
      <c r="C641" s="356"/>
      <c r="D641" s="357"/>
      <c r="E641" s="467"/>
      <c r="F641" s="467"/>
      <c r="G641" s="14"/>
      <c r="H641" s="14"/>
    </row>
    <row r="642" spans="1:8" ht="12.9">
      <c r="A642" s="356"/>
      <c r="B642" s="364"/>
      <c r="C642" s="356"/>
      <c r="D642" s="357"/>
      <c r="E642" s="467"/>
      <c r="F642" s="467"/>
      <c r="G642" s="14"/>
      <c r="H642" s="14"/>
    </row>
    <row r="643" spans="1:8" ht="13.3">
      <c r="A643" s="355"/>
      <c r="B643" s="355"/>
      <c r="C643" s="355"/>
      <c r="D643" s="358"/>
      <c r="E643" s="466"/>
      <c r="F643" s="466"/>
      <c r="G643" s="14"/>
      <c r="H643" s="14"/>
    </row>
    <row r="644" spans="1:8" ht="12.9">
      <c r="A644" s="356"/>
      <c r="B644" s="364"/>
      <c r="C644" s="356"/>
      <c r="D644" s="357"/>
      <c r="E644" s="467"/>
      <c r="F644" s="467"/>
      <c r="G644" s="14"/>
      <c r="H644" s="14"/>
    </row>
    <row r="645" spans="1:8" ht="12.9">
      <c r="A645" s="356"/>
      <c r="B645" s="364"/>
      <c r="C645" s="356"/>
      <c r="D645" s="357"/>
      <c r="E645" s="467"/>
      <c r="F645" s="467"/>
      <c r="G645" s="14"/>
      <c r="H645" s="14"/>
    </row>
    <row r="646" spans="1:8" ht="12.9">
      <c r="A646" s="356"/>
      <c r="B646" s="364"/>
      <c r="C646" s="356"/>
      <c r="D646" s="357"/>
      <c r="E646" s="467"/>
      <c r="F646" s="467"/>
      <c r="G646" s="14"/>
      <c r="H646" s="14"/>
    </row>
    <row r="647" spans="1:8" ht="12.9">
      <c r="A647" s="356"/>
      <c r="B647" s="364"/>
      <c r="C647" s="356"/>
      <c r="D647" s="357"/>
      <c r="E647" s="467"/>
      <c r="F647" s="467"/>
      <c r="G647" s="14"/>
      <c r="H647" s="14"/>
    </row>
    <row r="648" spans="1:8" ht="13.3">
      <c r="A648" s="355"/>
      <c r="B648" s="355"/>
      <c r="C648" s="355"/>
      <c r="D648" s="358"/>
      <c r="E648" s="466"/>
      <c r="F648" s="466"/>
      <c r="G648" s="14"/>
      <c r="H648" s="14"/>
    </row>
    <row r="649" spans="1:8" ht="12.9">
      <c r="A649" s="356"/>
      <c r="B649" s="364"/>
      <c r="C649" s="356"/>
      <c r="D649" s="357"/>
      <c r="E649" s="467"/>
      <c r="F649" s="467"/>
      <c r="G649" s="14"/>
      <c r="H649" s="14"/>
    </row>
    <row r="650" spans="1:8" ht="12.9">
      <c r="A650" s="356"/>
      <c r="B650" s="364"/>
      <c r="C650" s="356"/>
      <c r="D650" s="357"/>
      <c r="E650" s="467"/>
      <c r="F650" s="467"/>
      <c r="G650" s="14"/>
      <c r="H650" s="14"/>
    </row>
    <row r="651" spans="1:8" ht="12.9">
      <c r="A651" s="356"/>
      <c r="B651" s="364"/>
      <c r="C651" s="356"/>
      <c r="D651" s="357"/>
      <c r="E651" s="467"/>
      <c r="F651" s="467"/>
      <c r="G651" s="14"/>
      <c r="H651" s="14"/>
    </row>
    <row r="652" spans="1:8" ht="12.9">
      <c r="A652" s="356"/>
      <c r="B652" s="364"/>
      <c r="C652" s="356"/>
      <c r="D652" s="357"/>
      <c r="E652" s="467"/>
      <c r="F652" s="467"/>
      <c r="G652" s="14"/>
      <c r="H652" s="14"/>
    </row>
    <row r="653" spans="1:8" ht="13.3">
      <c r="A653" s="355"/>
      <c r="B653" s="355"/>
      <c r="C653" s="355"/>
      <c r="D653" s="358"/>
      <c r="E653" s="466"/>
      <c r="F653" s="466"/>
      <c r="G653" s="14"/>
      <c r="H653" s="14"/>
    </row>
    <row r="654" spans="1:8" ht="12.9">
      <c r="A654" s="356"/>
      <c r="B654" s="364"/>
      <c r="C654" s="356"/>
      <c r="D654" s="357"/>
      <c r="E654" s="467"/>
      <c r="F654" s="467"/>
      <c r="G654" s="14"/>
      <c r="H654" s="14"/>
    </row>
    <row r="655" spans="1:8" ht="12.9">
      <c r="A655" s="356"/>
      <c r="B655" s="364"/>
      <c r="C655" s="356"/>
      <c r="D655" s="357"/>
      <c r="E655" s="467"/>
      <c r="F655" s="467"/>
      <c r="G655" s="14"/>
      <c r="H655" s="14"/>
    </row>
    <row r="656" spans="1:8" ht="12.9">
      <c r="A656" s="356"/>
      <c r="B656" s="364"/>
      <c r="C656" s="356"/>
      <c r="D656" s="357"/>
      <c r="E656" s="467"/>
      <c r="F656" s="467"/>
      <c r="G656" s="14"/>
      <c r="H656" s="14"/>
    </row>
    <row r="657" spans="1:8" ht="12.9">
      <c r="A657" s="356"/>
      <c r="B657" s="364"/>
      <c r="C657" s="356"/>
      <c r="D657" s="357"/>
      <c r="E657" s="467"/>
      <c r="F657" s="467"/>
      <c r="G657" s="14"/>
      <c r="H657" s="14"/>
    </row>
    <row r="658" spans="1:8" ht="13.3">
      <c r="A658" s="355"/>
      <c r="B658" s="355"/>
      <c r="C658" s="355"/>
      <c r="D658" s="358"/>
      <c r="E658" s="466"/>
      <c r="F658" s="466"/>
      <c r="G658" s="14"/>
      <c r="H658" s="14"/>
    </row>
    <row r="659" spans="1:8" ht="12.9">
      <c r="A659" s="356"/>
      <c r="B659" s="364"/>
      <c r="C659" s="356"/>
      <c r="D659" s="357"/>
      <c r="E659" s="467"/>
      <c r="F659" s="467"/>
      <c r="G659" s="14"/>
      <c r="H659" s="14"/>
    </row>
    <row r="660" spans="1:8" ht="12.9">
      <c r="A660" s="356"/>
      <c r="B660" s="364"/>
      <c r="C660" s="356"/>
      <c r="D660" s="357"/>
      <c r="E660" s="467"/>
      <c r="F660" s="467"/>
      <c r="G660" s="14"/>
      <c r="H660" s="14"/>
    </row>
    <row r="661" spans="1:8" ht="12.9">
      <c r="A661" s="356"/>
      <c r="B661" s="364"/>
      <c r="C661" s="356"/>
      <c r="D661" s="357"/>
      <c r="E661" s="467"/>
      <c r="F661" s="467"/>
      <c r="G661" s="14"/>
      <c r="H661" s="14"/>
    </row>
    <row r="662" spans="1:8" ht="12.9">
      <c r="A662" s="356"/>
      <c r="B662" s="364"/>
      <c r="C662" s="356"/>
      <c r="D662" s="357"/>
      <c r="E662" s="467"/>
      <c r="F662" s="467"/>
      <c r="G662" s="14"/>
      <c r="H662" s="14"/>
    </row>
    <row r="663" spans="1:8" ht="13.3">
      <c r="A663" s="355"/>
      <c r="B663" s="355"/>
      <c r="C663" s="355"/>
      <c r="D663" s="358"/>
      <c r="E663" s="466"/>
      <c r="F663" s="466"/>
      <c r="G663" s="14"/>
      <c r="H663" s="14"/>
    </row>
    <row r="664" spans="1:8" ht="12.9">
      <c r="A664" s="356"/>
      <c r="B664" s="364"/>
      <c r="C664" s="356"/>
      <c r="D664" s="357"/>
      <c r="E664" s="467"/>
      <c r="F664" s="467"/>
      <c r="G664" s="14"/>
      <c r="H664" s="14"/>
    </row>
    <row r="665" spans="1:8" ht="12.9">
      <c r="A665" s="356"/>
      <c r="B665" s="364"/>
      <c r="C665" s="356"/>
      <c r="D665" s="357"/>
      <c r="E665" s="467"/>
      <c r="F665" s="467"/>
      <c r="G665" s="14"/>
      <c r="H665" s="14"/>
    </row>
    <row r="666" spans="1:8" ht="12.9">
      <c r="A666" s="356"/>
      <c r="B666" s="364"/>
      <c r="C666" s="356"/>
      <c r="D666" s="357"/>
      <c r="E666" s="467"/>
      <c r="F666" s="467"/>
      <c r="G666" s="14"/>
      <c r="H666" s="14"/>
    </row>
    <row r="667" spans="1:8" ht="12.9">
      <c r="A667" s="356"/>
      <c r="B667" s="364"/>
      <c r="C667" s="356"/>
      <c r="D667" s="357"/>
      <c r="E667" s="467"/>
      <c r="F667" s="467"/>
      <c r="G667" s="14"/>
      <c r="H667" s="14"/>
    </row>
    <row r="668" spans="1:8">
      <c r="E668" s="467"/>
      <c r="F668" s="467"/>
      <c r="G668" s="14"/>
      <c r="H668" s="14"/>
    </row>
  </sheetData>
  <phoneticPr fontId="0" type="noConversion"/>
  <hyperlinks>
    <hyperlink ref="C3" r:id="rId1" display="https://czechpetanque.cz/klub.html?id=95" xr:uid="{00000000-0004-0000-0400-000000000000}"/>
    <hyperlink ref="B8" r:id="rId2" display="https://czechpetanque.cz/odhlasit.html?pr=58444" xr:uid="{00000000-0004-0000-0400-000001000000}"/>
    <hyperlink ref="B13" r:id="rId3" display="https://czechpetanque.cz/odhlasit.html?pr=58424" xr:uid="{00000000-0004-0000-0400-000002000000}"/>
    <hyperlink ref="B18" r:id="rId4" display="https://czechpetanque.cz/odhlasit.html?pr=58479" xr:uid="{00000000-0004-0000-0400-000003000000}"/>
    <hyperlink ref="B23" r:id="rId5" display="https://czechpetanque.cz/odhlasit.html?pr=58612" xr:uid="{00000000-0004-0000-0400-000004000000}"/>
    <hyperlink ref="B28" r:id="rId6" display="https://czechpetanque.cz/odhlasit.html?pr=58434" xr:uid="{00000000-0004-0000-0400-000005000000}"/>
    <hyperlink ref="B33" r:id="rId7" display="https://czechpetanque.cz/odhlasit.html?pr=58597" xr:uid="{00000000-0004-0000-0400-000006000000}"/>
    <hyperlink ref="B38" r:id="rId8" display="https://czechpetanque.cz/odhlasit.html?pr=58580" xr:uid="{00000000-0004-0000-0400-000007000000}"/>
    <hyperlink ref="B43" r:id="rId9" display="https://czechpetanque.cz/odhlasit.html?pr=58573" xr:uid="{00000000-0004-0000-0400-000008000000}"/>
    <hyperlink ref="B48" r:id="rId10" display="https://czechpetanque.cz/odhlasit.html?pr=58448" xr:uid="{00000000-0004-0000-0400-000009000000}"/>
    <hyperlink ref="B53" r:id="rId11" display="https://czechpetanque.cz/odhlasit.html?pr=58719" xr:uid="{00000000-0004-0000-0400-00000A000000}"/>
    <hyperlink ref="B58" r:id="rId12" display="https://czechpetanque.cz/odhlasit.html?pr=58481" xr:uid="{00000000-0004-0000-0400-00000B000000}"/>
    <hyperlink ref="B63" r:id="rId13" display="https://czechpetanque.cz/odhlasit.html?pr=58575" xr:uid="{00000000-0004-0000-0400-00000C000000}"/>
    <hyperlink ref="B68" r:id="rId14" display="https://czechpetanque.cz/odhlasit.html?pr=58433" xr:uid="{00000000-0004-0000-0400-00000D000000}"/>
    <hyperlink ref="B73" r:id="rId15" display="https://czechpetanque.cz/odhlasit.html?pr=58716" xr:uid="{00000000-0004-0000-0400-00000E000000}"/>
    <hyperlink ref="B78" r:id="rId16" display="https://czechpetanque.cz/odhlasit.html?pr=58480" xr:uid="{00000000-0004-0000-0400-00000F000000}"/>
    <hyperlink ref="B83" r:id="rId17" display="https://czechpetanque.cz/odhlasit.html?pr=58438" xr:uid="{00000000-0004-0000-0400-000010000000}"/>
    <hyperlink ref="B88" r:id="rId18" display="https://czechpetanque.cz/odhlasit.html?pr=58467" xr:uid="{00000000-0004-0000-0400-000011000000}"/>
    <hyperlink ref="B93" r:id="rId19" display="https://czechpetanque.cz/odhlasit.html?pr=58454" xr:uid="{00000000-0004-0000-0400-000012000000}"/>
    <hyperlink ref="B98" r:id="rId20" display="https://czechpetanque.cz/odhlasit.html?pr=58588" xr:uid="{00000000-0004-0000-0400-000013000000}"/>
    <hyperlink ref="B103" r:id="rId21" display="https://czechpetanque.cz/odhlasit.html?pr=58663" xr:uid="{00000000-0004-0000-0400-000014000000}"/>
    <hyperlink ref="B108" r:id="rId22" display="https://czechpetanque.cz/odhlasit.html?pr=58677" xr:uid="{00000000-0004-0000-0400-000015000000}"/>
    <hyperlink ref="B113" r:id="rId23" display="https://czechpetanque.cz/odhlasit.html?pr=58431" xr:uid="{00000000-0004-0000-0400-000016000000}"/>
    <hyperlink ref="B118" r:id="rId24" display="https://czechpetanque.cz/odhlasit.html?pr=58445" xr:uid="{00000000-0004-0000-0400-000017000000}"/>
    <hyperlink ref="B123" r:id="rId25" display="https://czechpetanque.cz/odhlasit.html?pr=58668" xr:uid="{00000000-0004-0000-0400-000018000000}"/>
    <hyperlink ref="B128" r:id="rId26" display="https://czechpetanque.cz/odhlasit.html?pr=58561" xr:uid="{00000000-0004-0000-0400-000019000000}"/>
    <hyperlink ref="B133" r:id="rId27" display="https://czechpetanque.cz/odhlasit.html?pr=58443" xr:uid="{00000000-0004-0000-0400-00001A000000}"/>
    <hyperlink ref="B138" r:id="rId28" display="https://czechpetanque.cz/odhlasit.html?pr=58484" xr:uid="{00000000-0004-0000-0400-00001B000000}"/>
    <hyperlink ref="B143" r:id="rId29" display="https://czechpetanque.cz/odhlasit.html?pr=58428" xr:uid="{00000000-0004-0000-0400-00001C000000}"/>
    <hyperlink ref="B148" r:id="rId30" display="https://czechpetanque.cz/odhlasit.html?pr=58482" xr:uid="{00000000-0004-0000-0400-00001D000000}"/>
    <hyperlink ref="B153" r:id="rId31" display="https://czechpetanque.cz/odhlasit.html?pr=58442" xr:uid="{00000000-0004-0000-0400-00001E000000}"/>
    <hyperlink ref="B158" r:id="rId32" display="https://czechpetanque.cz/odhlasit.html?pr=58425" xr:uid="{00000000-0004-0000-0400-00001F000000}"/>
    <hyperlink ref="B163" r:id="rId33" display="https://czechpetanque.cz/odhlasit.html?pr=58543" xr:uid="{00000000-0004-0000-0400-000020000000}"/>
    <hyperlink ref="B168" r:id="rId34" display="https://czechpetanque.cz/odhlasit.html?pr=58446" xr:uid="{00000000-0004-0000-0400-000021000000}"/>
    <hyperlink ref="B173" r:id="rId35" display="https://czechpetanque.cz/odhlasit.html?pr=58440" xr:uid="{00000000-0004-0000-0400-000022000000}"/>
    <hyperlink ref="B178" r:id="rId36" display="https://czechpetanque.cz/odhlasit.html?pr=58604" xr:uid="{00000000-0004-0000-0400-000023000000}"/>
    <hyperlink ref="B183" r:id="rId37" display="https://czechpetanque.cz/odhlasit.html?pr=58676" xr:uid="{00000000-0004-0000-0400-000024000000}"/>
    <hyperlink ref="B188" r:id="rId38" display="https://czechpetanque.cz/odhlasit.html?pr=58560" xr:uid="{00000000-0004-0000-0400-000025000000}"/>
    <hyperlink ref="B193" r:id="rId39" display="https://czechpetanque.cz/odhlasit.html?pr=58555" xr:uid="{00000000-0004-0000-0400-000026000000}"/>
    <hyperlink ref="B198" r:id="rId40" display="https://czechpetanque.cz/odhlasit.html?pr=58666" xr:uid="{00000000-0004-0000-0400-000027000000}"/>
    <hyperlink ref="B203" r:id="rId41" display="https://czechpetanque.cz/odhlasit.html?pr=58801" xr:uid="{00000000-0004-0000-0400-000028000000}"/>
    <hyperlink ref="B208" r:id="rId42" display="https://czechpetanque.cz/odhlasit.html?pr=58475" xr:uid="{00000000-0004-0000-0400-000029000000}"/>
    <hyperlink ref="B213" r:id="rId43" display="https://czechpetanque.cz/odhlasit.html?pr=58617" xr:uid="{00000000-0004-0000-0400-00002A000000}"/>
    <hyperlink ref="B218" r:id="rId44" display="https://czechpetanque.cz/odhlasit.html?pr=58420" xr:uid="{00000000-0004-0000-0400-00002B000000}"/>
    <hyperlink ref="B223" r:id="rId45" display="https://czechpetanque.cz/odhlasit.html?pr=58453" xr:uid="{00000000-0004-0000-0400-00002C000000}"/>
    <hyperlink ref="B228" r:id="rId46" display="https://czechpetanque.cz/odhlasit.html?pr=58423" xr:uid="{00000000-0004-0000-0400-00002D000000}"/>
    <hyperlink ref="B233" r:id="rId47" display="https://czechpetanque.cz/odhlasit.html?pr=58432" xr:uid="{00000000-0004-0000-0400-00002E000000}"/>
    <hyperlink ref="B238" r:id="rId48" display="https://czechpetanque.cz/odhlasit.html?pr=58729" xr:uid="{00000000-0004-0000-0400-00002F000000}"/>
    <hyperlink ref="B243" r:id="rId49" display="https://czechpetanque.cz/odhlasit.html?pr=58426" xr:uid="{00000000-0004-0000-0400-000030000000}"/>
    <hyperlink ref="B248" r:id="rId50" display="https://czechpetanque.cz/odhlasit.html?pr=58458" xr:uid="{00000000-0004-0000-0400-000031000000}"/>
    <hyperlink ref="B253" r:id="rId51" display="https://czechpetanque.cz/odhlasit.html?pr=58449" xr:uid="{00000000-0004-0000-0400-000032000000}"/>
    <hyperlink ref="B258" r:id="rId52" display="https://czechpetanque.cz/odhlasit.html?pr=58743" xr:uid="{00000000-0004-0000-0400-000033000000}"/>
    <hyperlink ref="B263" r:id="rId53" display="https://czechpetanque.cz/odhlasit.html?pr=58582" xr:uid="{00000000-0004-0000-0400-000034000000}"/>
    <hyperlink ref="B268" r:id="rId54" display="https://czechpetanque.cz/odhlasit.html?pr=58680" xr:uid="{00000000-0004-0000-0400-000035000000}"/>
    <hyperlink ref="B273" r:id="rId55" display="https://czechpetanque.cz/odhlasit.html?pr=58468" xr:uid="{00000000-0004-0000-0400-000036000000}"/>
    <hyperlink ref="B278" r:id="rId56" display="https://czechpetanque.cz/odhlasit.html?pr=58550" xr:uid="{00000000-0004-0000-0400-000037000000}"/>
    <hyperlink ref="B283" r:id="rId57" display="https://czechpetanque.cz/odhlasit.html?pr=58619" xr:uid="{00000000-0004-0000-0400-000038000000}"/>
    <hyperlink ref="B288" r:id="rId58" display="https://czechpetanque.cz/odhlasit.html?pr=58615" xr:uid="{00000000-0004-0000-0400-000039000000}"/>
    <hyperlink ref="B293" r:id="rId59" display="https://czechpetanque.cz/odhlasit.html?pr=58620" xr:uid="{00000000-0004-0000-0400-00003A000000}"/>
    <hyperlink ref="B298" r:id="rId60" display="https://czechpetanque.cz/odhlasit.html?pr=58621" xr:uid="{00000000-0004-0000-0400-00003B000000}"/>
  </hyperlinks>
  <pageMargins left="0.78740157499999996" right="0.78740157499999996" top="0.984251969" bottom="0.984251969" header="0.4921259845" footer="0.4921259845"/>
  <pageSetup paperSize="9" orientation="portrait" horizontalDpi="300" verticalDpi="300" r:id="rId6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5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2P'!E176=""),"",'Hra 2P'!E176)</f>
        <v/>
      </c>
      <c r="D8" s="75" t="str">
        <f>IF(('Hra 2P'!F176=""),"",'Hra 2P'!F176)</f>
        <v/>
      </c>
      <c r="E8" s="43" t="str">
        <f ca="1">B6</f>
        <v xml:space="preserve"> - </v>
      </c>
    </row>
    <row r="9" spans="1:20" ht="18.45">
      <c r="A9" s="71"/>
      <c r="B9" s="43" t="str">
        <f ca="1">B4</f>
        <v xml:space="preserve"> - </v>
      </c>
      <c r="C9" s="75" t="str">
        <f>IF(('Hra 2P'!E177=""),"",'Hra 2P'!E177)</f>
        <v/>
      </c>
      <c r="D9" s="75" t="str">
        <f>IF(('Hra 2P'!F177=""),"",'Hra 2P'!F177)</f>
        <v/>
      </c>
      <c r="E9" s="43" t="str">
        <f ca="1">B5</f>
        <v xml:space="preserve"> - </v>
      </c>
    </row>
    <row r="10" spans="1:20" ht="18.4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8.4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8.4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AC1</v>
      </c>
      <c r="D14" s="71"/>
      <c r="E14" s="71"/>
    </row>
    <row r="15" spans="1:20" ht="18.45">
      <c r="A15" s="71" t="s">
        <v>32</v>
      </c>
      <c r="B15" s="43" t="str">
        <f>IF(N(C12)+N(D12)&gt;0,IF(N(C12)&gt;N(D12),B12,E12),"")</f>
        <v/>
      </c>
      <c r="C15" s="74" t="str">
        <f>CONCATENATE($C$1,A4)</f>
        <v>AC2</v>
      </c>
      <c r="D15" s="71"/>
      <c r="E15" s="71"/>
    </row>
    <row r="16" spans="1:20" ht="18.45">
      <c r="A16" s="71" t="s">
        <v>33</v>
      </c>
      <c r="B16" s="43" t="str">
        <f>IF(N(C12)+N(D12)&gt;0,IF(N(C12)&gt;N(D12),E12,B12),"")</f>
        <v/>
      </c>
      <c r="C16" s="74" t="str">
        <f>CONCATENATE($C$1,A5)</f>
        <v>AC3</v>
      </c>
      <c r="D16" s="71"/>
      <c r="E16" s="71"/>
    </row>
    <row r="17" spans="1:5" ht="18.45">
      <c r="A17" s="71" t="s">
        <v>34</v>
      </c>
      <c r="B17" s="79" t="str">
        <f>IF(N(C11)+N(D11)&gt;0,IF(N(C11)&gt;N(D11),E11,B11),"")</f>
        <v/>
      </c>
      <c r="C17" s="74" t="str">
        <f>CONCATENATE($C$1,A6)</f>
        <v>AC4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List5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2P'!E182=""),"",'Hra 2P'!E182)</f>
        <v/>
      </c>
      <c r="D8" s="75" t="str">
        <f>IF(('Hra 2P'!F182=""),"",'Hra 2P'!F182)</f>
        <v/>
      </c>
      <c r="E8" s="43" t="str">
        <f ca="1">B6</f>
        <v xml:space="preserve"> - </v>
      </c>
    </row>
    <row r="9" spans="1:20" ht="18.45">
      <c r="A9" s="71"/>
      <c r="B9" s="43" t="str">
        <f ca="1">B4</f>
        <v xml:space="preserve"> - </v>
      </c>
      <c r="C9" s="75" t="str">
        <f>IF(('Hra 2P'!E183=""),"",'Hra 2P'!E183)</f>
        <v/>
      </c>
      <c r="D9" s="75" t="str">
        <f>IF(('Hra 2P'!F183=""),"",'Hra 2P'!F183)</f>
        <v/>
      </c>
      <c r="E9" s="43" t="str">
        <f ca="1">B5</f>
        <v xml:space="preserve"> - </v>
      </c>
    </row>
    <row r="10" spans="1:20" ht="18.4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8.4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8.4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AD1</v>
      </c>
      <c r="D14" s="71"/>
      <c r="E14" s="71"/>
    </row>
    <row r="15" spans="1:20" ht="18.45">
      <c r="A15" s="71" t="s">
        <v>32</v>
      </c>
      <c r="B15" s="43" t="str">
        <f>IF(N(C12)+N(D12)&gt;0,IF(N(C12)&gt;N(D12),B12,E12),"")</f>
        <v/>
      </c>
      <c r="C15" s="74" t="str">
        <f>CONCATENATE($C$1,A4)</f>
        <v>AD2</v>
      </c>
      <c r="D15" s="71"/>
      <c r="E15" s="71"/>
    </row>
    <row r="16" spans="1:20" ht="18.45">
      <c r="A16" s="71" t="s">
        <v>33</v>
      </c>
      <c r="B16" s="43" t="str">
        <f>IF(N(C12)+N(D12)&gt;0,IF(N(C12)&gt;N(D12),E12,B12),"")</f>
        <v/>
      </c>
      <c r="C16" s="74" t="str">
        <f>CONCATENATE($C$1,A5)</f>
        <v>AD3</v>
      </c>
      <c r="D16" s="71"/>
      <c r="E16" s="71"/>
    </row>
    <row r="17" spans="1:5" ht="18.45">
      <c r="A17" s="71" t="s">
        <v>34</v>
      </c>
      <c r="B17" s="79" t="str">
        <f>IF(N(C11)+N(D11)&gt;0,IF(N(C11)&gt;N(D11),E11,B11),"")</f>
        <v/>
      </c>
      <c r="C17" s="74" t="str">
        <f>CONCATENATE($C$1,A6)</f>
        <v>AD4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List5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2P'!E188=""),"",'Hra 2P'!E188)</f>
        <v/>
      </c>
      <c r="D8" s="75" t="str">
        <f>IF(('Hra 2P'!F188=""),"",'Hra 2P'!F188)</f>
        <v/>
      </c>
      <c r="E8" s="43" t="str">
        <f ca="1">B6</f>
        <v xml:space="preserve"> - </v>
      </c>
    </row>
    <row r="9" spans="1:20" ht="18.45">
      <c r="A9" s="71"/>
      <c r="B9" s="43" t="str">
        <f ca="1">B4</f>
        <v xml:space="preserve"> - </v>
      </c>
      <c r="C9" s="75" t="str">
        <f>IF(('Hra 2P'!E189=""),"",'Hra 2P'!E189)</f>
        <v/>
      </c>
      <c r="D9" s="75" t="str">
        <f>IF(('Hra 2P'!F189=""),"",'Hra 2P'!F189)</f>
        <v/>
      </c>
      <c r="E9" s="43" t="str">
        <f ca="1">B5</f>
        <v xml:space="preserve"> - </v>
      </c>
    </row>
    <row r="10" spans="1:20" ht="18.4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8.4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8.4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AE1</v>
      </c>
      <c r="D14" s="71"/>
      <c r="E14" s="71"/>
    </row>
    <row r="15" spans="1:20" ht="18.45">
      <c r="A15" s="71" t="s">
        <v>32</v>
      </c>
      <c r="B15" s="43" t="str">
        <f>IF(N(C12)+N(D12)&gt;0,IF(N(C12)&gt;N(D12),B12,E12),"")</f>
        <v/>
      </c>
      <c r="C15" s="74" t="str">
        <f>CONCATENATE($C$1,A4)</f>
        <v>AE2</v>
      </c>
      <c r="D15" s="71"/>
      <c r="E15" s="71"/>
    </row>
    <row r="16" spans="1:20" ht="18.45">
      <c r="A16" s="71" t="s">
        <v>33</v>
      </c>
      <c r="B16" s="43" t="str">
        <f>IF(N(C12)+N(D12)&gt;0,IF(N(C12)&gt;N(D12),E12,B12),"")</f>
        <v/>
      </c>
      <c r="C16" s="74" t="str">
        <f>CONCATENATE($C$1,A5)</f>
        <v>AE3</v>
      </c>
      <c r="D16" s="71"/>
      <c r="E16" s="71"/>
    </row>
    <row r="17" spans="1:5" ht="18.45">
      <c r="A17" s="71" t="s">
        <v>34</v>
      </c>
      <c r="B17" s="79" t="str">
        <f>IF(N(C11)+N(D11)&gt;0,IF(N(C11)&gt;N(D11),E11,B11),"")</f>
        <v/>
      </c>
      <c r="C17" s="74" t="str">
        <f>CONCATENATE($C$1,A6)</f>
        <v>AE4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List5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2P'!E194=""),"",'Hra 2P'!E194)</f>
        <v/>
      </c>
      <c r="D8" s="75" t="str">
        <f>IF(('Hra 2P'!F194=""),"",'Hra 2P'!F194)</f>
        <v/>
      </c>
      <c r="E8" s="43" t="str">
        <f ca="1">B6</f>
        <v xml:space="preserve"> - </v>
      </c>
    </row>
    <row r="9" spans="1:20" ht="18.45">
      <c r="A9" s="71"/>
      <c r="B9" s="43" t="str">
        <f ca="1">B4</f>
        <v xml:space="preserve"> - </v>
      </c>
      <c r="C9" s="75" t="str">
        <f>IF(('Hra 2P'!E195=""),"",'Hra 2P'!E195)</f>
        <v/>
      </c>
      <c r="D9" s="75" t="str">
        <f>IF(('Hra 2P'!F195=""),"",'Hra 2P'!F195)</f>
        <v/>
      </c>
      <c r="E9" s="43" t="str">
        <f ca="1">B5</f>
        <v xml:space="preserve"> - </v>
      </c>
    </row>
    <row r="10" spans="1:20" ht="18.4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8.4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8.4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AF1</v>
      </c>
      <c r="D14" s="71"/>
      <c r="E14" s="71"/>
    </row>
    <row r="15" spans="1:20" ht="18.45">
      <c r="A15" s="71" t="s">
        <v>32</v>
      </c>
      <c r="B15" s="43" t="str">
        <f>IF(N(C12)+N(D12)&gt;0,IF(N(C12)&gt;N(D12),B12,E12),"")</f>
        <v/>
      </c>
      <c r="C15" s="74" t="str">
        <f>CONCATENATE($C$1,A4)</f>
        <v>AF2</v>
      </c>
      <c r="D15" s="71"/>
      <c r="E15" s="71"/>
    </row>
    <row r="16" spans="1:20" ht="18.45">
      <c r="A16" s="71" t="s">
        <v>33</v>
      </c>
      <c r="B16" s="43" t="str">
        <f>IF(N(C12)+N(D12)&gt;0,IF(N(C12)&gt;N(D12),E12,B12),"")</f>
        <v/>
      </c>
      <c r="C16" s="74" t="str">
        <f>CONCATENATE($C$1,A5)</f>
        <v>AF3</v>
      </c>
      <c r="D16" s="71"/>
      <c r="E16" s="71"/>
    </row>
    <row r="17" spans="1:5" ht="18.45">
      <c r="A17" s="71" t="s">
        <v>34</v>
      </c>
      <c r="B17" s="79" t="str">
        <f>IF(N(C11)+N(D11)&gt;0,IF(N(C11)&gt;N(D11),E11,B11),"")</f>
        <v/>
      </c>
      <c r="C17" s="74" t="str">
        <f>CONCATENATE($C$1,A6)</f>
        <v>AF4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c r="B1" s="28"/>
      <c r="C1" s="83"/>
      <c r="D1" s="83"/>
      <c r="E1" s="83"/>
      <c r="F1" s="83"/>
      <c r="G1" s="83"/>
      <c r="H1" s="83"/>
      <c r="I1" s="83"/>
      <c r="J1" s="83"/>
      <c r="K1" s="83"/>
      <c r="L1" s="83"/>
      <c r="M1" s="83"/>
      <c r="N1" s="83"/>
      <c r="O1" s="83"/>
      <c r="P1" s="83"/>
      <c r="Q1" s="83"/>
      <c r="S1" s="17"/>
      <c r="T1" s="17"/>
      <c r="U1" s="17"/>
      <c r="V1" s="17"/>
      <c r="W1" s="16"/>
      <c r="X1" s="17"/>
      <c r="Y1" s="17"/>
      <c r="Z1" s="17"/>
      <c r="AA1" s="16"/>
      <c r="AB1" s="17"/>
    </row>
    <row r="2" spans="1:28" ht="32.15" thickBot="1">
      <c r="A2" s="70"/>
      <c r="B2" s="331"/>
      <c r="C2" s="332">
        <v>4</v>
      </c>
      <c r="D2" s="157" t="s">
        <v>134</v>
      </c>
      <c r="E2" s="17"/>
      <c r="F2" s="17"/>
      <c r="G2" s="219">
        <v>2</v>
      </c>
      <c r="H2" s="157" t="s">
        <v>132</v>
      </c>
      <c r="I2" s="17"/>
      <c r="J2" s="17"/>
      <c r="K2" s="219">
        <v>1</v>
      </c>
      <c r="L2" s="178" t="s">
        <v>133</v>
      </c>
      <c r="M2" s="17"/>
      <c r="N2" s="17"/>
      <c r="O2" s="17"/>
      <c r="P2" s="18"/>
    </row>
    <row r="3" spans="1:28" ht="28.95" customHeight="1" thickBot="1">
      <c r="A3" s="17"/>
      <c r="B3" s="17"/>
      <c r="C3" s="28"/>
      <c r="D3" s="371" t="s">
        <v>447</v>
      </c>
      <c r="E3" s="374" t="str">
        <f ca="1">IF(OR(TRIM(D4)="-",TRIM(D5)="-"),"",VLOOKUP(MIN(C4,C5),Hřiště!$B$11:$E$42,4,0))</f>
        <v/>
      </c>
      <c r="F3" s="82"/>
      <c r="G3" s="80"/>
      <c r="H3" s="80"/>
      <c r="I3" s="125"/>
      <c r="J3" s="82"/>
      <c r="K3" s="80"/>
      <c r="L3" s="80"/>
      <c r="M3" s="125"/>
      <c r="N3" s="17"/>
      <c r="O3" s="17"/>
      <c r="P3" s="18"/>
      <c r="Q3" s="125"/>
      <c r="R3" s="82"/>
      <c r="S3" s="80"/>
      <c r="T3" s="80"/>
      <c r="U3" s="86"/>
      <c r="V3" s="281"/>
      <c r="W3" s="16"/>
      <c r="X3" s="17"/>
      <c r="Y3" s="17"/>
      <c r="Z3" s="17"/>
      <c r="AA3" s="16"/>
      <c r="AB3" s="17"/>
    </row>
    <row r="4" spans="1:28" ht="18.45" thickBot="1">
      <c r="A4" s="116" t="str">
        <f ca="1">VLOOKUP(C4,Postupy!$A$3:$C$9,3,0)</f>
        <v>A1</v>
      </c>
      <c r="B4" s="17"/>
      <c r="C4" s="108">
        <v>1</v>
      </c>
      <c r="D4" s="333" t="str">
        <f ca="1">VLOOKUP(C4,Postupy!$A$3:$W$6,23,0)</f>
        <v>1 Carreau Brno - Michálek Tomáš</v>
      </c>
      <c r="E4" s="155">
        <f ca="1">VLOOKUP(C4,Postupy!$A$3:$X$6,24,0)</f>
        <v>1</v>
      </c>
      <c r="F4" s="20"/>
      <c r="G4" s="16"/>
      <c r="H4" s="244" t="s">
        <v>132</v>
      </c>
      <c r="I4" s="16"/>
      <c r="J4" s="17"/>
      <c r="K4" s="17"/>
      <c r="L4" s="17"/>
      <c r="M4" s="17"/>
      <c r="N4" s="17"/>
      <c r="O4" s="17"/>
      <c r="P4" s="18"/>
    </row>
    <row r="5" spans="1:28" ht="18.899999999999999" thickTop="1" thickBot="1">
      <c r="A5" s="116" t="str">
        <f ca="1">VLOOKUP(C5,Postupy!$A$3:$C$18,3,0)</f>
        <v>D1</v>
      </c>
      <c r="B5" s="17"/>
      <c r="C5" s="110">
        <v>4</v>
      </c>
      <c r="D5" s="333" t="str">
        <f ca="1">VLOOKUP(C5,Postupy!$A$3:$W$6,23,0)</f>
        <v>4 CdP Loděnice - Resl Jan</v>
      </c>
      <c r="E5" s="156">
        <f ca="1">VLOOKUP(C5,Postupy!$A$3:$X$6,24,0)</f>
        <v>0</v>
      </c>
      <c r="F5" s="21"/>
      <c r="G5" s="26"/>
      <c r="H5" s="371" t="s">
        <v>447</v>
      </c>
      <c r="I5" s="374" t="str">
        <f ca="1">IF(OR(TRIM(H6)="-",TRIM(H7)="-"),"",VLOOKUP(MIN(G6,G7),Hřiště!$B$11:$E$42,4,0))</f>
        <v/>
      </c>
      <c r="J5" s="17"/>
      <c r="K5" s="18"/>
      <c r="L5" s="280"/>
      <c r="M5" s="17"/>
      <c r="N5" s="17"/>
      <c r="O5" s="17"/>
      <c r="P5" s="18"/>
    </row>
    <row r="6" spans="1:28" ht="18.45" thickTop="1" thickBot="1">
      <c r="A6" s="107"/>
      <c r="B6" s="22"/>
      <c r="C6" s="17"/>
      <c r="D6" s="67"/>
      <c r="E6" s="18"/>
      <c r="F6" s="18"/>
      <c r="G6" s="108">
        <v>1</v>
      </c>
      <c r="H6" s="109" t="str">
        <f ca="1">IF(OR(TRIM(D4)="-",TRIM(D5)="-"), IF(TRIM(D4)="-",D5,D4),IF(AND(E4="",E5="")," ",IF(N(E4)=N(E5)," ",IF(N(E4)&gt;N(E5),D4,D5))))</f>
        <v>1 Carreau Brno - Michálek Tomáš</v>
      </c>
      <c r="I6" s="155">
        <f ca="1">VLOOKUP(G6,Postupy!$A$3:$Z$6,26,0)</f>
        <v>13</v>
      </c>
      <c r="J6" s="27"/>
      <c r="K6" s="39">
        <v>1</v>
      </c>
      <c r="L6" s="133" t="str">
        <f ca="1">IF(AND(I6="",I7="")," ",IF(N(I6)=N(I7)," ",IF(N(I6)&gt;N(I7),H6,H7)))</f>
        <v>1 Carreau Brno - Michálek Tomáš</v>
      </c>
      <c r="M6" s="40">
        <v>1</v>
      </c>
      <c r="N6" s="17"/>
      <c r="O6" s="18"/>
      <c r="P6" s="17"/>
    </row>
    <row r="7" spans="1:28" ht="18.899999999999999" thickTop="1" thickBot="1">
      <c r="A7" s="104"/>
      <c r="B7" s="33"/>
      <c r="C7" s="17"/>
      <c r="D7" s="371" t="s">
        <v>447</v>
      </c>
      <c r="E7" s="374" t="str">
        <f ca="1">IF(OR(TRIM(D8)="-",TRIM(D9)="-"),"",VLOOKUP(MIN(C8,C9),Hřiště!$B$11:$E$42,4,0))</f>
        <v/>
      </c>
      <c r="F7" s="18"/>
      <c r="G7" s="110">
        <v>2</v>
      </c>
      <c r="H7" s="111" t="str">
        <f ca="1">IF(OR(TRIM(D8)="-",TRIM(D9)="-"), IF(TRIM(D8)="-",D9,D8),IF(AND(E8="",E9="")," ",IF(N(E8)=N(E9)," ",IF(N(E8)&gt;N(E9),D8,D9))))</f>
        <v>29 Carreau Brno - Grepl Jiří</v>
      </c>
      <c r="I7" s="156">
        <f ca="1">VLOOKUP(G7,Postupy!$A$3:$Z$6,26,0)</f>
        <v>3</v>
      </c>
      <c r="J7" s="17"/>
      <c r="K7" s="39">
        <v>2</v>
      </c>
      <c r="L7" s="131" t="str">
        <f ca="1">IF(AND(I6="",I7="")," ",IF(N(I7)=N(I6)," ",IF(N(I7)&gt;N(I6),H6,H7)))</f>
        <v>29 Carreau Brno - Grepl Jiří</v>
      </c>
      <c r="M7" s="130">
        <v>2</v>
      </c>
      <c r="N7" s="17"/>
      <c r="O7" s="17"/>
      <c r="P7" s="17"/>
    </row>
    <row r="8" spans="1:28" ht="18" thickBot="1">
      <c r="A8" s="116" t="str">
        <f ca="1">VLOOKUP(C8,Postupy!$A$3:$C$9,3,0)</f>
        <v>C1</v>
      </c>
      <c r="B8" s="17"/>
      <c r="C8" s="108">
        <v>3</v>
      </c>
      <c r="D8" s="333" t="str">
        <f ca="1">VLOOKUP(C8,Postupy!$A$3:$W$6,23,0)</f>
        <v>29 Carreau Brno - Grepl Jiří</v>
      </c>
      <c r="E8" s="155">
        <f ca="1">VLOOKUP(C8,Postupy!$A$3:$X$6,24,0)</f>
        <v>1</v>
      </c>
      <c r="F8" s="27"/>
      <c r="G8" s="17"/>
      <c r="H8" s="68"/>
      <c r="I8" s="18"/>
      <c r="J8" s="17"/>
      <c r="K8" s="17"/>
      <c r="L8" s="17"/>
      <c r="M8" s="17"/>
      <c r="N8" s="17"/>
      <c r="O8" s="18"/>
      <c r="P8" s="17"/>
    </row>
    <row r="9" spans="1:28" ht="18.45" thickTop="1" thickBot="1">
      <c r="A9" s="116" t="str">
        <f ca="1">VLOOKUP(C9,Postupy!$A$3:$C$18,3,0)</f>
        <v>B1</v>
      </c>
      <c r="B9" s="17"/>
      <c r="C9" s="110">
        <v>2</v>
      </c>
      <c r="D9" s="333" t="str">
        <f ca="1">VLOOKUP(C9,Postupy!$A$3:$W$6,23,0)</f>
        <v>26 HAVAJ CB - Koreš st. Jiří</v>
      </c>
      <c r="E9" s="156">
        <f ca="1">VLOOKUP(C9,Postupy!$A$3:$X$6,24,0)</f>
        <v>0</v>
      </c>
      <c r="F9" s="28"/>
      <c r="G9" s="17"/>
      <c r="H9" s="65"/>
      <c r="I9" s="18"/>
      <c r="J9" s="65"/>
      <c r="K9" s="65"/>
      <c r="L9" s="18"/>
      <c r="M9" s="18"/>
      <c r="N9" s="17"/>
      <c r="O9" s="17"/>
      <c r="P9" s="18"/>
    </row>
    <row r="10" spans="1:28">
      <c r="A10" s="107"/>
      <c r="B10" s="84"/>
      <c r="C10" s="17"/>
      <c r="D10" s="66"/>
      <c r="E10" s="16"/>
      <c r="F10" s="17"/>
      <c r="G10" s="17"/>
      <c r="H10" s="65"/>
      <c r="I10" s="18"/>
      <c r="J10" s="65"/>
      <c r="K10" s="65"/>
      <c r="L10" s="18"/>
      <c r="M10" s="18"/>
      <c r="N10" s="17"/>
      <c r="O10" s="17"/>
      <c r="P10" s="18"/>
    </row>
    <row r="11" spans="1:28">
      <c r="A11" s="104"/>
      <c r="B11" s="22"/>
      <c r="C11" s="17"/>
      <c r="D11" s="66"/>
      <c r="E11" s="17"/>
      <c r="F11" s="17"/>
      <c r="G11" s="17"/>
      <c r="H11" s="65"/>
      <c r="I11" s="18"/>
      <c r="J11" s="65"/>
      <c r="K11" s="65"/>
      <c r="L11" s="18"/>
      <c r="M11" s="18"/>
      <c r="N11" s="17"/>
      <c r="O11" s="17"/>
      <c r="P11" s="18"/>
    </row>
    <row r="12" spans="1:28" ht="13.3">
      <c r="A12" s="107"/>
      <c r="B12" s="17"/>
      <c r="C12" s="17"/>
      <c r="D12" s="69"/>
      <c r="E12" s="17"/>
      <c r="F12" s="17"/>
      <c r="G12" s="17"/>
      <c r="H12" s="65"/>
      <c r="I12" s="18"/>
      <c r="J12" s="65"/>
      <c r="K12" s="65"/>
      <c r="L12" s="18"/>
      <c r="M12" s="18"/>
      <c r="N12" s="17"/>
      <c r="O12" s="17"/>
      <c r="P12" s="18"/>
    </row>
    <row r="13" spans="1:28" ht="15">
      <c r="A13" s="104"/>
      <c r="B13" s="17"/>
      <c r="C13" s="17"/>
      <c r="D13" s="69"/>
      <c r="E13" s="17"/>
      <c r="F13" s="17"/>
      <c r="G13" s="65"/>
      <c r="H13" s="242" t="s">
        <v>135</v>
      </c>
      <c r="I13" s="18"/>
      <c r="J13" s="65"/>
      <c r="K13" s="65"/>
      <c r="L13" s="18"/>
      <c r="M13" s="18"/>
      <c r="N13" s="17"/>
      <c r="O13" s="17"/>
      <c r="P13" s="18"/>
    </row>
    <row r="14" spans="1:28" ht="15.45" thickBot="1">
      <c r="A14" s="107"/>
      <c r="B14" s="22"/>
      <c r="C14" s="17"/>
      <c r="D14" s="69"/>
      <c r="E14" s="17"/>
      <c r="F14" s="17"/>
      <c r="G14" s="65"/>
      <c r="H14" s="243" t="s">
        <v>136</v>
      </c>
      <c r="I14" s="18"/>
      <c r="J14" s="65"/>
      <c r="K14" s="65"/>
      <c r="L14" s="18"/>
      <c r="M14" s="18"/>
      <c r="N14" s="17"/>
      <c r="O14" s="17"/>
      <c r="P14" s="18"/>
    </row>
    <row r="15" spans="1:28" ht="16.95" customHeight="1" thickBot="1">
      <c r="A15" s="104"/>
      <c r="B15" s="33"/>
      <c r="C15" s="17"/>
      <c r="D15" s="66"/>
      <c r="E15" s="17"/>
      <c r="F15" s="17"/>
      <c r="G15" s="181"/>
      <c r="H15" s="371" t="s">
        <v>447</v>
      </c>
      <c r="I15" s="374" t="str">
        <f ca="1">IF(OR(TRIM(H16)="-",TRIM(H17)="-"),"",VLOOKUP(MIN(G16,G17),Hřiště!$B$11:$E$42,4,0))</f>
        <v/>
      </c>
      <c r="J15" s="17"/>
      <c r="K15" s="17"/>
      <c r="L15" s="17"/>
      <c r="M15" s="17"/>
      <c r="N15" s="17"/>
      <c r="O15" s="18"/>
      <c r="P15" s="17"/>
    </row>
    <row r="16" spans="1:28" ht="18.45" thickTop="1" thickBot="1">
      <c r="A16" s="104"/>
      <c r="B16" s="17"/>
      <c r="C16" s="17"/>
      <c r="D16" s="66"/>
      <c r="E16" s="17"/>
      <c r="F16" s="17"/>
      <c r="G16" s="108">
        <v>4</v>
      </c>
      <c r="H16" s="109" t="str">
        <f ca="1">IF(OR(TRIM(D4)="-",TRIM(D5)="-"), IF(TRIM(D4)="-",D5,D4),IF(AND(E4="",E5="")," ",IF(N(E5)=N(E4)," ",IF(N(E5)&gt;N(E4),D4,D5))))</f>
        <v>4 CdP Loděnice - Resl Jan</v>
      </c>
      <c r="I16" s="155">
        <f ca="1">VLOOKUP(G16,Postupy!$A$3:$Z$6,26,0)</f>
        <v>11</v>
      </c>
      <c r="J16" s="195"/>
      <c r="K16" s="39">
        <v>3</v>
      </c>
      <c r="L16" s="131" t="str">
        <f ca="1">IF(AND(I16="",I17="")," ",IF(N(I16)=N(I17)," ",IF(N(I16)&gt;N(I17),H16,H17)))</f>
        <v>26 HAVAJ CB - Koreš st. Jiří</v>
      </c>
      <c r="M16" s="130">
        <v>3</v>
      </c>
      <c r="N16" s="17"/>
      <c r="O16" s="18"/>
      <c r="P16" s="17"/>
    </row>
    <row r="17" spans="1:16" ht="18.45" thickTop="1" thickBot="1">
      <c r="A17" s="104"/>
      <c r="B17" s="17"/>
      <c r="C17" s="17"/>
      <c r="D17" s="66"/>
      <c r="E17" s="17"/>
      <c r="F17" s="17"/>
      <c r="G17" s="110">
        <v>3</v>
      </c>
      <c r="H17" s="111" t="str">
        <f ca="1">IF(OR(TRIM(D8)="-",TRIM(D9)="-"), IF(TRIM(D8)="-",D9,D8),IF(AND(E8="",E9="")," ",IF(N(E9)=N(E8)," ",IF(N(E9)&gt;N(E8),D8,D9))))</f>
        <v>26 HAVAJ CB - Koreš st. Jiří</v>
      </c>
      <c r="I17" s="156">
        <f ca="1">VLOOKUP(G17,Postupy!$A$3:$Z$6,26,0)</f>
        <v>13</v>
      </c>
      <c r="J17" s="183"/>
      <c r="K17" s="39">
        <v>4</v>
      </c>
      <c r="L17" s="131" t="str">
        <f ca="1">IF(AND(I16="",I17="")," ",IF(N(I17)=N(I16)," ",IF(N(I17)&gt;N(I16),H16,H17)))</f>
        <v>4 CdP Loděnice - Resl Jan</v>
      </c>
      <c r="M17" s="130">
        <v>4</v>
      </c>
      <c r="N17" s="17"/>
      <c r="O17" s="18"/>
      <c r="P17" s="17"/>
    </row>
    <row r="18" spans="1:16">
      <c r="A18" s="104"/>
      <c r="B18" s="84"/>
      <c r="C18" s="17"/>
      <c r="D18" s="66"/>
      <c r="E18" s="17"/>
      <c r="F18" s="17"/>
      <c r="G18" s="17"/>
      <c r="H18" s="65"/>
      <c r="I18" s="18"/>
      <c r="J18" s="17"/>
      <c r="K18" s="17"/>
      <c r="L18" s="17"/>
      <c r="M18" s="17"/>
      <c r="N18" s="17"/>
      <c r="O18" s="18"/>
      <c r="P18" s="17"/>
    </row>
    <row r="19" spans="1:16">
      <c r="A19" s="104"/>
      <c r="B19" s="22"/>
      <c r="C19" s="17"/>
      <c r="D19" s="66"/>
      <c r="E19" s="17"/>
      <c r="F19" s="17"/>
      <c r="G19" s="17"/>
      <c r="H19" s="65"/>
      <c r="I19" s="18"/>
      <c r="J19" s="65"/>
      <c r="K19" s="65"/>
      <c r="L19" s="18"/>
      <c r="M19" s="18"/>
      <c r="N19" s="17"/>
      <c r="O19" s="17"/>
      <c r="P19" s="18"/>
    </row>
    <row r="20" spans="1:16">
      <c r="A20" s="104"/>
      <c r="B20" s="22"/>
      <c r="C20" s="17"/>
      <c r="D20" s="66"/>
      <c r="E20" s="17"/>
      <c r="F20" s="17"/>
      <c r="G20" s="17"/>
      <c r="H20" s="65"/>
      <c r="I20" s="18"/>
      <c r="J20" s="65"/>
      <c r="K20" s="65"/>
      <c r="L20" s="18"/>
      <c r="M20" s="18"/>
      <c r="N20" s="17"/>
      <c r="O20" s="17"/>
      <c r="P20" s="18"/>
    </row>
    <row r="21" spans="1:16">
      <c r="A21" s="104"/>
      <c r="B21" s="22"/>
      <c r="C21" s="17"/>
      <c r="D21" s="66"/>
      <c r="E21" s="17"/>
      <c r="F21" s="17"/>
      <c r="G21" s="17"/>
      <c r="H21" s="65"/>
      <c r="I21" s="18"/>
      <c r="J21" s="65"/>
      <c r="K21" s="65"/>
      <c r="L21" s="18"/>
      <c r="M21" s="18"/>
      <c r="N21" s="17"/>
      <c r="O21" s="17"/>
      <c r="P21" s="18"/>
    </row>
    <row r="22" spans="1:16">
      <c r="A22" s="104"/>
      <c r="B22" s="22"/>
      <c r="C22" s="17"/>
      <c r="D22" s="66"/>
      <c r="E22" s="17"/>
      <c r="F22" s="17"/>
      <c r="G22" s="17"/>
      <c r="H22" s="65"/>
      <c r="I22" s="18"/>
      <c r="J22" s="65"/>
      <c r="K22" s="65"/>
      <c r="L22" s="18"/>
      <c r="M22" s="18"/>
      <c r="N22" s="17"/>
      <c r="O22" s="17"/>
      <c r="P22" s="18"/>
    </row>
    <row r="23" spans="1:16">
      <c r="A23" s="104"/>
      <c r="B23" s="22"/>
      <c r="C23" s="17"/>
      <c r="D23" s="66"/>
      <c r="E23" s="17"/>
      <c r="F23" s="17"/>
      <c r="G23" s="17"/>
      <c r="H23" s="65"/>
      <c r="I23" s="18"/>
      <c r="J23" s="65"/>
      <c r="K23" s="65"/>
      <c r="L23" s="18"/>
      <c r="M23" s="18"/>
      <c r="N23" s="17"/>
      <c r="O23" s="17"/>
      <c r="P23" s="18"/>
    </row>
    <row r="24" spans="1:16">
      <c r="A24" s="104"/>
      <c r="B24" s="22"/>
      <c r="C24" s="17"/>
      <c r="D24" s="66"/>
      <c r="E24" s="17"/>
      <c r="F24" s="17"/>
      <c r="G24" s="17"/>
      <c r="H24" s="65"/>
      <c r="I24" s="18"/>
      <c r="J24" s="65"/>
      <c r="K24" s="65"/>
      <c r="L24" s="18"/>
      <c r="M24" s="18"/>
      <c r="N24" s="17"/>
      <c r="O24" s="17"/>
      <c r="P24" s="18"/>
    </row>
    <row r="25" spans="1:16">
      <c r="A25" s="104"/>
      <c r="B25" s="22"/>
      <c r="C25" s="17"/>
      <c r="D25" s="66"/>
      <c r="E25" s="17"/>
      <c r="F25" s="17"/>
      <c r="G25" s="17"/>
      <c r="H25" s="65"/>
      <c r="I25" s="18"/>
      <c r="J25" s="65"/>
      <c r="K25" s="65"/>
      <c r="L25" s="18"/>
      <c r="M25" s="18"/>
      <c r="N25" s="17"/>
      <c r="O25" s="17"/>
      <c r="P25" s="18"/>
    </row>
    <row r="26" spans="1:16">
      <c r="A26" s="104"/>
      <c r="B26" s="22"/>
      <c r="C26" s="17"/>
      <c r="D26" s="66"/>
      <c r="E26" s="17"/>
      <c r="F26" s="17"/>
      <c r="G26" s="17"/>
      <c r="H26" s="65"/>
      <c r="I26" s="18"/>
      <c r="J26" s="65"/>
      <c r="K26" s="65"/>
      <c r="L26" s="18"/>
      <c r="M26" s="18"/>
      <c r="N26" s="17"/>
      <c r="O26" s="17"/>
      <c r="P26" s="18"/>
    </row>
    <row r="27" spans="1:16">
      <c r="A27" s="104"/>
      <c r="B27" s="22"/>
      <c r="C27" s="17"/>
      <c r="D27" s="66"/>
      <c r="E27" s="17"/>
      <c r="F27" s="17"/>
      <c r="G27" s="17"/>
      <c r="H27" s="65"/>
      <c r="I27" s="18"/>
      <c r="J27" s="65"/>
      <c r="K27" s="65"/>
      <c r="L27" s="18"/>
      <c r="M27" s="18"/>
      <c r="N27" s="17"/>
      <c r="O27" s="17"/>
      <c r="P27" s="18"/>
    </row>
    <row r="28" spans="1:16">
      <c r="A28" s="107"/>
      <c r="B28" s="22"/>
    </row>
    <row r="29" spans="1:16">
      <c r="A29" s="104"/>
      <c r="B29" s="22"/>
    </row>
    <row r="30" spans="1:16">
      <c r="A30" s="107"/>
      <c r="B30" s="22"/>
    </row>
    <row r="31" spans="1:16">
      <c r="A31" s="104"/>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List57"/>
  <dimension ref="A1:F38"/>
  <sheetViews>
    <sheetView workbookViewId="0"/>
  </sheetViews>
  <sheetFormatPr defaultRowHeight="12"/>
  <cols>
    <col min="1" max="1" width="10.58203125" customWidth="1"/>
    <col min="2" max="2" width="62.83203125" customWidth="1"/>
    <col min="3" max="3" width="89" customWidth="1"/>
    <col min="4" max="4" width="0" hidden="1" customWidth="1"/>
  </cols>
  <sheetData>
    <row r="1" spans="1:6" ht="42.65" customHeight="1" thickBot="1">
      <c r="A1" s="135"/>
      <c r="B1" s="170" t="s">
        <v>245</v>
      </c>
      <c r="D1" s="17"/>
    </row>
    <row r="2" spans="1:6" ht="24.65" customHeight="1">
      <c r="A2" s="136">
        <v>1</v>
      </c>
      <c r="B2" s="171" t="str">
        <f ca="1">VLOOKUP($A2,Postupy!$A$3:$I$18,9,0)</f>
        <v>1 Carreau Brno - Michálek Tomáš</v>
      </c>
      <c r="C2" s="134"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Tomáš Carreau Brno, Lukáš Vojtěch PLUK Jablonec, Vavrovič ml. Petr PC Sokol Lipník       </v>
      </c>
      <c r="D2" s="136">
        <v>1</v>
      </c>
      <c r="F2">
        <f ca="1">IF(TYPE(VLOOKUP($B2,Start.listina!$AL$11:$BF$138,21,0))=16,"",VLOOKUP($B2,Start.listina!$AL$11:$BF$138,21,0))</f>
        <v>1</v>
      </c>
    </row>
    <row r="3" spans="1:6" ht="22.95" customHeight="1">
      <c r="A3" s="137">
        <v>2</v>
      </c>
      <c r="B3" s="172" t="str">
        <f ca="1">VLOOKUP($A3,Postupy!$A$3:$I$18,9,0)</f>
        <v>29 Carreau Brno - Grepl Jiří</v>
      </c>
      <c r="C3" s="134"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Grepl Jiří Carreau Brno, Kvítek Franjo Orel Řečkovice, Skopal Radek Kulový blesk Olomouc       </v>
      </c>
      <c r="D3" s="137">
        <v>2</v>
      </c>
      <c r="F3">
        <f ca="1">IF(TYPE(VLOOKUP($B3,Start.listina!$AL$11:$BF$138,21,0))=16,"",VLOOKUP($B3,Start.listina!$AL$11:$BF$138,21,0))</f>
        <v>29</v>
      </c>
    </row>
    <row r="4" spans="1:6" ht="22.95" customHeight="1">
      <c r="A4" s="137">
        <v>3</v>
      </c>
      <c r="B4" s="172" t="str">
        <f ca="1">VLOOKUP($A4,Postupy!$A$3:$I$18,9,0)</f>
        <v>26 HAVAJ CB - Koreš st. Jiří</v>
      </c>
      <c r="C4" s="134"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Koreš st. Jiří HAVAJ CB, Netušil Radek P.C.B.D., Koreš ml. Jiří HAVAJ CB       </v>
      </c>
      <c r="D4" s="137">
        <v>3</v>
      </c>
      <c r="F4">
        <f ca="1">IF(TYPE(VLOOKUP($B4,Start.listina!$AL$11:$BF$138,21,0))=16,"",VLOOKUP($B4,Start.listina!$AL$11:$BF$138,21,0))</f>
        <v>26</v>
      </c>
    </row>
    <row r="5" spans="1:6" ht="22.95" customHeight="1">
      <c r="A5" s="137">
        <v>4</v>
      </c>
      <c r="B5" s="172" t="str">
        <f ca="1">VLOOKUP($A5,Postupy!$A$3:$I$18,9,0)</f>
        <v>4 CdP Loděnice - Resl Jan</v>
      </c>
      <c r="C5" s="134"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Resl Jan CdP Loděnice, Valenz Lukáš VARAN, Kauca st. Jindřich PC Přítkov       </v>
      </c>
      <c r="D5" s="137">
        <v>4</v>
      </c>
      <c r="F5">
        <f ca="1">IF(TYPE(VLOOKUP($B5,Start.listina!$AL$11:$BF$138,21,0))=16,"",VLOOKUP($B5,Start.listina!$AL$11:$BF$138,21,0))</f>
        <v>4</v>
      </c>
    </row>
    <row r="6" spans="1:6" ht="22.95" customHeight="1">
      <c r="A6" s="137">
        <v>5</v>
      </c>
      <c r="B6" s="172" t="str">
        <f ca="1">VLOOKUP($A6,Postupy!$A$3:$I$18,9,0)</f>
        <v>17 SK Sahara Vědomice - Demčíková Jiřina</v>
      </c>
      <c r="C6" s="134"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Demčíková Jiřina SK Sahara Vědomice, Král Pavel FENYX Adamov, Handl Zdeněk FENYX Adamov       </v>
      </c>
      <c r="D6" s="137">
        <v>5</v>
      </c>
      <c r="F6">
        <f ca="1">IF(TYPE(VLOOKUP($B6,Start.listina!$AL$11:$BF$138,21,0))=16,"",VLOOKUP($B6,Start.listina!$AL$11:$BF$138,21,0))</f>
        <v>17</v>
      </c>
    </row>
    <row r="7" spans="1:6" ht="22.95" customHeight="1">
      <c r="A7" s="137">
        <v>6</v>
      </c>
      <c r="B7" s="172" t="str">
        <f ca="1">VLOOKUP($A7,Postupy!$A$3:$I$18,9,0)</f>
        <v>7 HRODE KRUMSÍN - Motl Bohuslav</v>
      </c>
      <c r="C7" s="134"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Motl Bohuslav HRODE KRUMSÍN, Pírek Martin HRODE KRUMSÍN, Krpec Miroslav HRODE KRUMSÍN       </v>
      </c>
      <c r="D7" s="137">
        <v>6</v>
      </c>
      <c r="F7">
        <f ca="1">IF(TYPE(VLOOKUP($B7,Start.listina!$AL$11:$BF$138,21,0))=16,"",VLOOKUP($B7,Start.listina!$AL$11:$BF$138,21,0))</f>
        <v>7</v>
      </c>
    </row>
    <row r="8" spans="1:6" ht="22.95" customHeight="1">
      <c r="A8" s="137">
        <v>7</v>
      </c>
      <c r="B8" s="172" t="str">
        <f ca="1">VLOOKUP($A8,Postupy!$A$3:$I$18,9,0)</f>
        <v>5 TOP - ORLOVÁ - Bačo David</v>
      </c>
      <c r="C8" s="134"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Bačo David TOP - ORLOVÁ, Fafek Petr PC Sokol Lipník, Vavrovič st. Petr PC Sokol Lipník       </v>
      </c>
      <c r="D8" s="137">
        <v>7</v>
      </c>
      <c r="F8">
        <f ca="1">IF(TYPE(VLOOKUP($B8,Start.listina!$AL$11:$BF$138,21,0))=16,"",VLOOKUP($B8,Start.listina!$AL$11:$BF$138,21,0))</f>
        <v>5</v>
      </c>
    </row>
    <row r="9" spans="1:6" ht="22.95" customHeight="1">
      <c r="A9" s="137">
        <v>8</v>
      </c>
      <c r="B9" s="172" t="str">
        <f ca="1">VLOOKUP($A9,Postupy!$A$3:$I$18,9,0)</f>
        <v>21 Carreau Brno - Ferlay Franck</v>
      </c>
      <c r="C9" s="134"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Ferlay Franck Carreau Brno, Štěpánek Michal SLOPE Brno, Juráň Petr HRODE KRUMSÍN       </v>
      </c>
      <c r="D9" s="137">
        <v>8</v>
      </c>
      <c r="F9">
        <f ca="1">IF(TYPE(VLOOKUP($B9,Start.listina!$AL$11:$BF$138,21,0))=16,"",VLOOKUP($B9,Start.listina!$AL$11:$BF$138,21,0))</f>
        <v>21</v>
      </c>
    </row>
    <row r="10" spans="1:6" ht="22.95" customHeight="1">
      <c r="A10" s="137">
        <v>9</v>
      </c>
      <c r="B10" s="172" t="str">
        <f ca="1">VLOOKUP($A10,Postupy!$A$3:$I$18,9,0)</f>
        <v>18 1. KPK Vrchlabí - Brázda Vladimír</v>
      </c>
      <c r="C10" s="134"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Brázda Vladimír 1. KPK Vrchlabí, Semeniv Maryana Khrystyna 1. KPK Vrchlabí, Kobr Štěpán 1. KPK Vrchlabí       </v>
      </c>
      <c r="D10" s="137">
        <v>9</v>
      </c>
      <c r="F10">
        <f ca="1">IF(TYPE(VLOOKUP($B10,Start.listina!$AL$11:$BF$138,21,0))=16,"",VLOOKUP($B10,Start.listina!$AL$11:$BF$138,21,0))</f>
        <v>18</v>
      </c>
    </row>
    <row r="11" spans="1:6" ht="22.95" customHeight="1">
      <c r="A11" s="137">
        <v>10</v>
      </c>
      <c r="B11" s="172" t="str">
        <f ca="1">VLOOKUP($A11,Postupy!$A$3:$I$18,9,0)</f>
        <v>6 CdP Loděnice - Dlouhá Ivana</v>
      </c>
      <c r="C11" s="134"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Dlouhá Ivana CdP Loděnice, Tintěrová Kateřina VARAN, Kamaryt Josef CdP Loděnice       </v>
      </c>
      <c r="D11" s="137">
        <v>10</v>
      </c>
      <c r="F11">
        <f ca="1">IF(TYPE(VLOOKUP($B11,Start.listina!$AL$11:$BF$138,21,0))=16,"",VLOOKUP($B11,Start.listina!$AL$11:$BF$138,21,0))</f>
        <v>6</v>
      </c>
    </row>
    <row r="12" spans="1:6" ht="22.95" customHeight="1">
      <c r="A12" s="137">
        <v>11</v>
      </c>
      <c r="B12" s="172" t="str">
        <f ca="1">VLOOKUP($A12,Postupy!$A$3:$I$18,9,0)</f>
        <v>23 PLUK Jablonec - Lukáš Petr</v>
      </c>
      <c r="C12" s="134"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Lukáš Petr PLUK Jablonec, Lukášová Jana PLUK Jablonec, Valík Václav PAK Albrechtice       </v>
      </c>
      <c r="D12" s="137">
        <v>11</v>
      </c>
      <c r="F12">
        <f ca="1">IF(TYPE(VLOOKUP($B12,Start.listina!$AL$11:$BF$138,21,0))=16,"",VLOOKUP($B12,Start.listina!$AL$11:$BF$138,21,0))</f>
        <v>23</v>
      </c>
    </row>
    <row r="13" spans="1:6" ht="22.95" customHeight="1">
      <c r="A13" s="137">
        <v>12</v>
      </c>
      <c r="B13" s="172" t="str">
        <f ca="1">VLOOKUP($A13,Postupy!$A$3:$I$18,9,0)</f>
        <v>19 SKP Hranice VI-Valšovice - Gratcl Jiří</v>
      </c>
      <c r="C13" s="134"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Gratcl Jiří SKP Hranice VI-Valšovice, Jakeš Zbyněk SKP Hranice VI-Valšovice, Janeček Robert HRODE KRUMSÍN       </v>
      </c>
      <c r="D13" s="137">
        <v>12</v>
      </c>
      <c r="F13">
        <f ca="1">IF(TYPE(VLOOKUP($B13,Start.listina!$AL$11:$BF$138,21,0))=16,"",VLOOKUP($B13,Start.listina!$AL$11:$BF$138,21,0))</f>
        <v>19</v>
      </c>
    </row>
    <row r="14" spans="1:6" ht="22.95" customHeight="1">
      <c r="A14" s="137">
        <v>13</v>
      </c>
      <c r="B14" s="172" t="str">
        <f ca="1">VLOOKUP($A14,Postupy!$A$3:$I$18,9,0)</f>
        <v>22 SK Sahara Vědomice - Sekerešová Jindřiška</v>
      </c>
      <c r="C14" s="134"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Sekerešová Jindřiška SK Sahara Vědomice, Heller Jan PC Mimo Done, Morávek Petr PC Sokol Lipník       </v>
      </c>
      <c r="D14" s="137">
        <v>13</v>
      </c>
      <c r="F14">
        <f ca="1">IF(TYPE(VLOOKUP($B14,Start.listina!$AL$11:$BF$138,21,0))=16,"",VLOOKUP($B14,Start.listina!$AL$11:$BF$138,21,0))</f>
        <v>22</v>
      </c>
    </row>
    <row r="15" spans="1:6" ht="22.95" customHeight="1">
      <c r="A15" s="137">
        <v>14</v>
      </c>
      <c r="B15" s="172" t="str">
        <f ca="1">VLOOKUP($A15,Postupy!$A$3:$I$18,9,0)</f>
        <v>2 PC Sokol Lipník - Froňková Kateřina</v>
      </c>
      <c r="C15" s="134"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Froňková Kateřina PC Sokol Lipník, Zdobinský Michal PC Sokol Lipník, Michalička Lukáš 1. KPK Vrchlabí       </v>
      </c>
      <c r="D15" s="137">
        <v>14</v>
      </c>
      <c r="F15">
        <f ca="1">IF(TYPE(VLOOKUP($B15,Start.listina!$AL$11:$BF$138,21,0))=16,"",VLOOKUP($B15,Start.listina!$AL$11:$BF$138,21,0))</f>
        <v>2</v>
      </c>
    </row>
    <row r="16" spans="1:6" ht="22.95" customHeight="1">
      <c r="A16" s="137">
        <v>15</v>
      </c>
      <c r="B16" s="172" t="str">
        <f ca="1">VLOOKUP($A16,Postupy!$A$3:$I$18,9,0)</f>
        <v>51 UBU Únětice - Fuksa Petr</v>
      </c>
      <c r="C16" s="134"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Fuksa Petr UBU Únětice, Hanč Jaroslav 1. KPK Vrchlabí, Kremlík Miroslav Spolek Park Grébovka       </v>
      </c>
      <c r="D16" s="137">
        <v>15</v>
      </c>
      <c r="F16">
        <f ca="1">IF(TYPE(VLOOKUP($B16,Start.listina!$AL$11:$BF$138,21,0))=16,"",VLOOKUP($B16,Start.listina!$AL$11:$BF$138,21,0))</f>
        <v>51</v>
      </c>
    </row>
    <row r="17" spans="1:6" ht="22.95" customHeight="1" thickBot="1">
      <c r="A17" s="138">
        <v>16</v>
      </c>
      <c r="B17" s="173" t="str">
        <f ca="1">VLOOKUP($A17,Postupy!$A$3:$I$18,9,0)</f>
        <v>41 PC Sokol PP Hr. Králové - Melgr Jan</v>
      </c>
      <c r="C17" s="134"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Melgr Jan PC Sokol PP Hr. Králové, Kopečný David PC Sokol PP Hr. Králové, Malina František PC Sokol PP Hr. Králové       </v>
      </c>
      <c r="D17" s="138">
        <v>16</v>
      </c>
      <c r="F17">
        <f ca="1">IF(TYPE(VLOOKUP($B17,Start.listina!$AL$11:$BF$138,21,0))=16,"",VLOOKUP($B17,Start.listina!$AL$11:$BF$138,21,0))</f>
        <v>41</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List19"/>
  <dimension ref="A1:BG130"/>
  <sheetViews>
    <sheetView workbookViewId="0"/>
  </sheetViews>
  <sheetFormatPr defaultRowHeight="12"/>
  <cols>
    <col min="3" max="3" width="47.75" customWidth="1"/>
    <col min="6" max="7" width="10.4140625" hidden="1" customWidth="1"/>
    <col min="8" max="12" width="9" hidden="1" customWidth="1"/>
    <col min="13" max="13" width="5" style="2" hidden="1" customWidth="1"/>
    <col min="14" max="14" width="9.4140625" hidden="1" customWidth="1"/>
    <col min="15" max="15" width="9" hidden="1" customWidth="1"/>
    <col min="16" max="16" width="5.83203125" hidden="1" customWidth="1"/>
    <col min="17" max="34" width="4.1640625" hidden="1" customWidth="1"/>
  </cols>
  <sheetData>
    <row r="1" spans="1:59" ht="12.9">
      <c r="A1" s="2"/>
      <c r="B1" s="2"/>
      <c r="C1" s="2"/>
      <c r="D1" s="2"/>
      <c r="E1" s="2"/>
      <c r="F1" t="s">
        <v>4</v>
      </c>
      <c r="G1" s="2"/>
      <c r="H1" s="2"/>
      <c r="I1" s="2"/>
      <c r="J1" s="2"/>
      <c r="K1" s="2"/>
      <c r="L1" s="2"/>
      <c r="N1" s="349">
        <f>Start.listina!M6</f>
        <v>3</v>
      </c>
      <c r="O1" s="349">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5" customHeight="1">
      <c r="A2" s="10" t="s">
        <v>79</v>
      </c>
      <c r="B2" s="10" t="s">
        <v>78</v>
      </c>
      <c r="C2" s="10" t="s">
        <v>76</v>
      </c>
      <c r="D2" s="10" t="s">
        <v>80</v>
      </c>
      <c r="E2" s="10" t="s">
        <v>137</v>
      </c>
      <c r="F2" s="139" t="s">
        <v>138</v>
      </c>
      <c r="G2" s="139">
        <v>64</v>
      </c>
      <c r="H2" s="139">
        <v>32</v>
      </c>
      <c r="I2" s="139">
        <v>16</v>
      </c>
      <c r="J2" s="139">
        <v>8</v>
      </c>
      <c r="K2" s="139">
        <v>4</v>
      </c>
      <c r="L2" s="139" t="s">
        <v>82</v>
      </c>
      <c r="M2" s="15">
        <f ca="1">Start.listina!$O$7</f>
        <v>16</v>
      </c>
      <c r="N2" s="350">
        <f ca="1">(P2-O2*O1)/N1</f>
        <v>1</v>
      </c>
      <c r="O2" s="350">
        <f ca="1">IF(S2=0,Q2,IF(V2=0,T2,IF(Y2=0,W2,IF(AB2=0,Z2,IF(AE2=0,IF(AH2=0,AF2,0))))))</f>
        <v>14</v>
      </c>
      <c r="P2" s="15">
        <f ca="1">Start.listina!$K$7</f>
        <v>59</v>
      </c>
      <c r="Q2" s="350">
        <f ca="1">INT($P2/$O1)+Q1</f>
        <v>14</v>
      </c>
      <c r="R2" s="350">
        <f ca="1">IF(($P2-INT(Q2)*$O1)&gt;$P2,-1,$P2-INT(Q2)*$O1)</f>
        <v>3</v>
      </c>
      <c r="S2" s="351">
        <f ca="1">IF(($P2-INT(Q2)*$O1)&gt;$P2,-1,MOD(R2,$N1))</f>
        <v>0</v>
      </c>
      <c r="T2" s="350">
        <f ca="1">INT($P2/$O1)+T1</f>
        <v>13</v>
      </c>
      <c r="U2" s="350">
        <f ca="1">IF(($P2-INT(T2)*$O1)&gt;$P2,-1,$P2-INT(T2)*$O1)</f>
        <v>7</v>
      </c>
      <c r="V2" s="351">
        <f ca="1">IF(($P2-INT(T2)*$O1)&gt;$P2,-1,MOD(U2,$N1))</f>
        <v>1</v>
      </c>
      <c r="W2" s="350">
        <f ca="1">INT($P2/$O1)+W1</f>
        <v>12</v>
      </c>
      <c r="X2" s="350">
        <f ca="1">IF(($P2-INT(W2)*$O1)&gt;$P2,-1,$P2-INT(W2)*$O1)</f>
        <v>11</v>
      </c>
      <c r="Y2" s="351">
        <f ca="1">IF(($P2-INT(W2)*$O1)&gt;$P2,-1,MOD(X2,$N1))</f>
        <v>2</v>
      </c>
      <c r="Z2" s="350">
        <f ca="1">INT($P2/$O1)+Z1</f>
        <v>11</v>
      </c>
      <c r="AA2" s="350">
        <f ca="1">IF(($P2-INT(Z2)*$O1)&gt;$P2,-1,$P2-INT(Z2)*$O1)</f>
        <v>15</v>
      </c>
      <c r="AB2" s="351">
        <f ca="1">IF(($P2-INT(Z2)*$O1)&gt;$P2,-1,MOD(AA2,$N1))</f>
        <v>0</v>
      </c>
      <c r="AC2" s="350">
        <f ca="1">INT($P2/$O1)+AC1</f>
        <v>10</v>
      </c>
      <c r="AD2" s="350">
        <f ca="1">IF(($P2-INT(AC2)*$O1)&gt;$P2,-1,$P2-INT(AC2)*$O1)</f>
        <v>19</v>
      </c>
      <c r="AE2" s="351">
        <f ca="1">IF(($P2-INT(AC2)*$O1)&gt;$P2,-1,MOD(AD2,$N1))</f>
        <v>1</v>
      </c>
      <c r="AF2" s="350">
        <f ca="1">INT($P2/$O1)+AF1</f>
        <v>9</v>
      </c>
      <c r="AG2" s="350">
        <f ca="1">IF(($P2-INT(AF2)*$O1)&gt;$P2,-1,$P2-INT(AF2)*$O1)</f>
        <v>23</v>
      </c>
      <c r="AH2" s="351">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Michálek Tomáš</v>
      </c>
      <c r="D3" s="2">
        <f ca="1">IF(A3&gt;Start.listina!$K$7,"",INT((A3-1)/$M$2)+1)</f>
        <v>1</v>
      </c>
      <c r="E3" s="293">
        <f ca="1">IF(A3&gt;Start.listina!$K$7,"",MIN(F3:L3))</f>
        <v>1</v>
      </c>
      <c r="F3" s="2">
        <f ca="1">IF(TYPE(VLOOKUP(C3,Konečné_pořadí_1_16!$B$2:$D$17,3,0))&lt;4,VLOOKUP(C3,Konečné_pořadí_1_16!$B$2:$D$17,3,0),999)</f>
        <v>1</v>
      </c>
      <c r="G3" s="2">
        <f ca="1">IF(TYPE(VLOOKUP(C3,'KO64'!$D$4:$D$129,1,0))&lt;4,64,999)</f>
        <v>64</v>
      </c>
      <c r="H3" s="2">
        <f ca="1">IF(TYPE(VLOOKUP(C3,'KO32'!$D$4:$D$65,1,0))&lt;4,32,999)</f>
        <v>32</v>
      </c>
      <c r="I3" s="2">
        <f ca="1">IF(TYPE(VLOOKUP(C3,'KO16'!$D$4:$D$33,1,0))&lt;4,16,999)</f>
        <v>16</v>
      </c>
      <c r="J3" s="2">
        <f ca="1">IF(TYPE(VLOOKUP(C3,'KO8'!$D$4:$D$17,1,0))&lt;4,8,999)</f>
        <v>8</v>
      </c>
      <c r="K3" s="2">
        <f ca="1">IF(TYPE(VLOOKUP(C3,'KO4'!$D$4:$D$9,1,0))&lt;4,4,999)</f>
        <v>4</v>
      </c>
      <c r="L3" s="2">
        <f ca="1">Start.listina!$K$7</f>
        <v>59</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PC Sokol Lipník - Froňková Kateřina</v>
      </c>
      <c r="D4" s="2">
        <f ca="1">IF(A4&gt;Start.listina!$K$7,"",INT((A4-1)/$M$2)+1)</f>
        <v>1</v>
      </c>
      <c r="E4" s="293">
        <f ca="1">IF(A4&gt;Start.listina!$K$7,"",MIN(F4:L4))</f>
        <v>14</v>
      </c>
      <c r="F4" s="2">
        <f ca="1">IF(TYPE(VLOOKUP(C4,Konečné_pořadí_1_16!$B$2:$D$17,3,0))&lt;4,VLOOKUP(C4,Konečné_pořadí_1_16!$B$2:$D$17,3,0),999)</f>
        <v>14</v>
      </c>
      <c r="G4" s="2">
        <f ca="1">IF(TYPE(VLOOKUP(C4,'KO64'!$D$4:$D$129,1,0))&lt;4,64,999)</f>
        <v>64</v>
      </c>
      <c r="H4" s="2">
        <f ca="1">IF(TYPE(VLOOKUP(C4,'KO32'!$D$4:$D$65,1,0))&lt;4,32,999)</f>
        <v>32</v>
      </c>
      <c r="I4" s="2">
        <f ca="1">IF(TYPE(VLOOKUP(C4,'KO16'!$D$4:$D$33,1,0))&lt;4,16,999)</f>
        <v>16</v>
      </c>
      <c r="J4" s="2">
        <f ca="1">IF(TYPE(VLOOKUP(C4,'KO8'!$D$4:$D$17,1,0))&lt;4,8,999)</f>
        <v>999</v>
      </c>
      <c r="K4" s="2">
        <f ca="1">IF(TYPE(VLOOKUP(C4,'KO4'!$D$4:$D$9,1,0))&lt;4,4,999)</f>
        <v>999</v>
      </c>
      <c r="L4" s="2">
        <f ca="1">Start.listina!$K$7</f>
        <v>59</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PC Sokol Lipník - Konšel Jakub</v>
      </c>
      <c r="D5" s="2">
        <f ca="1">IF(A5&gt;Start.listina!$K$7,"",INT((A5-1)/$M$2)+1)</f>
        <v>1</v>
      </c>
      <c r="E5" s="293">
        <f ca="1">IF(A5&gt;Start.listina!$K$7,"",MIN(F5:L5))</f>
        <v>32</v>
      </c>
      <c r="F5" s="2">
        <f ca="1">IF(TYPE(VLOOKUP(C5,Konečné_pořadí_1_16!$B$2:$D$17,3,0))&lt;4,VLOOKUP(C5,Konečné_pořadí_1_16!$B$2:$D$17,3,0),999)</f>
        <v>999</v>
      </c>
      <c r="G5" s="2">
        <f ca="1">IF(TYPE(VLOOKUP(C5,'KO64'!$D$4:$D$129,1,0))&lt;4,64,999)</f>
        <v>64</v>
      </c>
      <c r="H5" s="2">
        <f ca="1">IF(TYPE(VLOOKUP(C5,'KO32'!$D$4:$D$65,1,0))&lt;4,32,999)</f>
        <v>32</v>
      </c>
      <c r="I5" s="2">
        <f ca="1">IF(TYPE(VLOOKUP(C5,'KO16'!$D$4:$D$33,1,0))&lt;4,16,999)</f>
        <v>999</v>
      </c>
      <c r="J5" s="2">
        <f ca="1">IF(TYPE(VLOOKUP(C5,'KO8'!$D$4:$D$17,1,0))&lt;4,8,999)</f>
        <v>999</v>
      </c>
      <c r="K5" s="2">
        <f ca="1">IF(TYPE(VLOOKUP(C5,'KO4'!$D$4:$D$9,1,0))&lt;4,4,999)</f>
        <v>999</v>
      </c>
      <c r="L5" s="2">
        <f ca="1">Start.listina!$K$7</f>
        <v>59</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CdP Loděnice - Resl Jan</v>
      </c>
      <c r="D6" s="2">
        <f ca="1">IF(A6&gt;Start.listina!$K$7,"",INT((A6-1)/$M$2)+1)</f>
        <v>1</v>
      </c>
      <c r="E6" s="293">
        <f ca="1">IF(A6&gt;Start.listina!$K$7,"",MIN(F6:L6))</f>
        <v>4</v>
      </c>
      <c r="F6" s="2">
        <f ca="1">IF(TYPE(VLOOKUP(C6,Konečné_pořadí_1_16!$B$2:$D$17,3,0))&lt;4,VLOOKUP(C6,Konečné_pořadí_1_16!$B$2:$D$17,3,0),999)</f>
        <v>4</v>
      </c>
      <c r="G6" s="2">
        <f ca="1">IF(TYPE(VLOOKUP(C6,'KO64'!$D$4:$D$129,1,0))&lt;4,64,999)</f>
        <v>64</v>
      </c>
      <c r="H6" s="2">
        <f ca="1">IF(TYPE(VLOOKUP(C6,'KO32'!$D$4:$D$65,1,0))&lt;4,32,999)</f>
        <v>32</v>
      </c>
      <c r="I6" s="2">
        <f ca="1">IF(TYPE(VLOOKUP(C6,'KO16'!$D$4:$D$33,1,0))&lt;4,16,999)</f>
        <v>16</v>
      </c>
      <c r="J6" s="2">
        <f ca="1">IF(TYPE(VLOOKUP(C6,'KO8'!$D$4:$D$17,1,0))&lt;4,8,999)</f>
        <v>8</v>
      </c>
      <c r="K6" s="2">
        <f ca="1">IF(TYPE(VLOOKUP(C6,'KO4'!$D$4:$D$9,1,0))&lt;4,4,999)</f>
        <v>4</v>
      </c>
      <c r="L6" s="2">
        <f ca="1">Start.listina!$K$7</f>
        <v>59</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TOP - ORLOVÁ - Bačo David</v>
      </c>
      <c r="D7" s="2">
        <f ca="1">IF(A7&gt;Start.listina!$K$7,"",INT((A7-1)/$M$2)+1)</f>
        <v>1</v>
      </c>
      <c r="E7" s="293">
        <f ca="1">IF(A7&gt;Start.listina!$K$7,"",MIN(F7:L7))</f>
        <v>7</v>
      </c>
      <c r="F7" s="2">
        <f ca="1">IF(TYPE(VLOOKUP(C7,Konečné_pořadí_1_16!$B$2:$D$17,3,0))&lt;4,VLOOKUP(C7,Konečné_pořadí_1_16!$B$2:$D$17,3,0),999)</f>
        <v>7</v>
      </c>
      <c r="G7" s="2">
        <f ca="1">IF(TYPE(VLOOKUP(C7,'KO64'!$D$4:$D$129,1,0))&lt;4,64,999)</f>
        <v>64</v>
      </c>
      <c r="H7" s="2">
        <f ca="1">IF(TYPE(VLOOKUP(C7,'KO32'!$D$4:$D$65,1,0))&lt;4,32,999)</f>
        <v>32</v>
      </c>
      <c r="I7" s="2">
        <f ca="1">IF(TYPE(VLOOKUP(C7,'KO16'!$D$4:$D$33,1,0))&lt;4,16,999)</f>
        <v>16</v>
      </c>
      <c r="J7" s="2">
        <f ca="1">IF(TYPE(VLOOKUP(C7,'KO8'!$D$4:$D$17,1,0))&lt;4,8,999)</f>
        <v>8</v>
      </c>
      <c r="K7" s="2">
        <f ca="1">IF(TYPE(VLOOKUP(C7,'KO4'!$D$4:$D$9,1,0))&lt;4,4,999)</f>
        <v>999</v>
      </c>
      <c r="L7" s="2">
        <f ca="1">Start.listina!$K$7</f>
        <v>59</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CdP Loděnice - Dlouhá Ivana</v>
      </c>
      <c r="D8" s="2">
        <f ca="1">IF(A8&gt;Start.listina!$K$7,"",INT((A8-1)/$M$2)+1)</f>
        <v>1</v>
      </c>
      <c r="E8" s="293">
        <f ca="1">IF(A8&gt;Start.listina!$K$7,"",MIN(F8:L8))</f>
        <v>10</v>
      </c>
      <c r="F8" s="2">
        <f ca="1">IF(TYPE(VLOOKUP(C8,Konečné_pořadí_1_16!$B$2:$D$17,3,0))&lt;4,VLOOKUP(C8,Konečné_pořadí_1_16!$B$2:$D$17,3,0),999)</f>
        <v>10</v>
      </c>
      <c r="G8" s="2">
        <f ca="1">IF(TYPE(VLOOKUP(C8,'KO64'!$D$4:$D$129,1,0))&lt;4,64,999)</f>
        <v>64</v>
      </c>
      <c r="H8" s="2">
        <f ca="1">IF(TYPE(VLOOKUP(C8,'KO32'!$D$4:$D$65,1,0))&lt;4,32,999)</f>
        <v>32</v>
      </c>
      <c r="I8" s="2">
        <f ca="1">IF(TYPE(VLOOKUP(C8,'KO16'!$D$4:$D$33,1,0))&lt;4,16,999)</f>
        <v>16</v>
      </c>
      <c r="J8" s="2">
        <f ca="1">IF(TYPE(VLOOKUP(C8,'KO8'!$D$4:$D$17,1,0))&lt;4,8,999)</f>
        <v>999</v>
      </c>
      <c r="K8" s="2">
        <f ca="1">IF(TYPE(VLOOKUP(C8,'KO4'!$D$4:$D$9,1,0))&lt;4,4,999)</f>
        <v>999</v>
      </c>
      <c r="L8" s="2">
        <f ca="1">Start.listina!$K$7</f>
        <v>59</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HRODE KRUMSÍN - Motl Bohuslav</v>
      </c>
      <c r="D9" s="2">
        <f ca="1">IF(A9&gt;Start.listina!$K$7,"",INT((A9-1)/$M$2)+1)</f>
        <v>1</v>
      </c>
      <c r="E9" s="293">
        <f ca="1">IF(A9&gt;Start.listina!$K$7,"",MIN(F9:L9))</f>
        <v>6</v>
      </c>
      <c r="F9" s="2">
        <f ca="1">IF(TYPE(VLOOKUP(C9,Konečné_pořadí_1_16!$B$2:$D$17,3,0))&lt;4,VLOOKUP(C9,Konečné_pořadí_1_16!$B$2:$D$17,3,0),999)</f>
        <v>6</v>
      </c>
      <c r="G9" s="2">
        <f ca="1">IF(TYPE(VLOOKUP(C9,'KO64'!$D$4:$D$129,1,0))&lt;4,64,999)</f>
        <v>64</v>
      </c>
      <c r="H9" s="2">
        <f ca="1">IF(TYPE(VLOOKUP(C9,'KO32'!$D$4:$D$65,1,0))&lt;4,32,999)</f>
        <v>32</v>
      </c>
      <c r="I9" s="2">
        <f ca="1">IF(TYPE(VLOOKUP(C9,'KO16'!$D$4:$D$33,1,0))&lt;4,16,999)</f>
        <v>16</v>
      </c>
      <c r="J9" s="2">
        <f ca="1">IF(TYPE(VLOOKUP(C9,'KO8'!$D$4:$D$17,1,0))&lt;4,8,999)</f>
        <v>8</v>
      </c>
      <c r="K9" s="2">
        <f ca="1">IF(TYPE(VLOOKUP(C9,'KO4'!$D$4:$D$9,1,0))&lt;4,4,999)</f>
        <v>999</v>
      </c>
      <c r="L9" s="2">
        <f ca="1">Start.listina!$K$7</f>
        <v>59</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1. KPK Vrchlabí - Vedral Filip</v>
      </c>
      <c r="D10" s="2">
        <f ca="1">IF(A10&gt;Start.listina!$K$7,"",INT((A10-1)/$M$2)+1)</f>
        <v>1</v>
      </c>
      <c r="E10" s="293">
        <f ca="1">IF(A10&gt;Start.listina!$K$7,"",MIN(F10:L10))</f>
        <v>32</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999</v>
      </c>
      <c r="J10" s="2">
        <f ca="1">IF(TYPE(VLOOKUP(C10,'KO8'!$D$4:$D$17,1,0))&lt;4,8,999)</f>
        <v>999</v>
      </c>
      <c r="K10" s="2">
        <f ca="1">IF(TYPE(VLOOKUP(C10,'KO4'!$D$4:$D$9,1,0))&lt;4,4,999)</f>
        <v>999</v>
      </c>
      <c r="L10" s="2">
        <f ca="1">Start.listina!$K$7</f>
        <v>59</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Carreau Brno - Dudašková Michaela</v>
      </c>
      <c r="D11" s="2">
        <f ca="1">IF(A11&gt;Start.listina!$K$7,"",INT((A11-1)/$M$2)+1)</f>
        <v>1</v>
      </c>
      <c r="E11" s="293">
        <f ca="1">IF(A11&gt;Start.listina!$K$7,"",MIN(F11:L11))</f>
        <v>59</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59</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SKP Hranice VI-Valšovice - Kutá Miloslava</v>
      </c>
      <c r="D12" s="2">
        <f ca="1">IF(A12&gt;Start.listina!$K$7,"",INT((A12-1)/$M$2)+1)</f>
        <v>1</v>
      </c>
      <c r="E12" s="293">
        <f ca="1">IF(A12&gt;Start.listina!$K$7,"",MIN(F12:L12))</f>
        <v>59</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59</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PC Damníkov - Brandes Michael</v>
      </c>
      <c r="D13" s="2">
        <f ca="1">IF(A13&gt;Start.listina!$K$7,"",INT((A13-1)/$M$2)+1)</f>
        <v>1</v>
      </c>
      <c r="E13" s="293">
        <f ca="1">IF(A13&gt;Start.listina!$K$7,"",MIN(F13:L13))</f>
        <v>32</v>
      </c>
      <c r="F13" s="2">
        <f ca="1">IF(TYPE(VLOOKUP(C13,Konečné_pořadí_1_16!$B$2:$D$17,3,0))&lt;4,VLOOKUP(C13,Konečné_pořadí_1_16!$B$2:$D$17,3,0),999)</f>
        <v>999</v>
      </c>
      <c r="G13" s="2">
        <f ca="1">IF(TYPE(VLOOKUP(C13,'KO64'!$D$4:$D$129,1,0))&lt;4,64,999)</f>
        <v>64</v>
      </c>
      <c r="H13" s="2">
        <f ca="1">IF(TYPE(VLOOKUP(C13,'KO32'!$D$4:$D$65,1,0))&lt;4,32,999)</f>
        <v>32</v>
      </c>
      <c r="I13" s="2">
        <f ca="1">IF(TYPE(VLOOKUP(C13,'KO16'!$D$4:$D$33,1,0))&lt;4,16,999)</f>
        <v>999</v>
      </c>
      <c r="J13" s="2">
        <f ca="1">IF(TYPE(VLOOKUP(C13,'KO8'!$D$4:$D$17,1,0))&lt;4,8,999)</f>
        <v>999</v>
      </c>
      <c r="K13" s="2">
        <f ca="1">IF(TYPE(VLOOKUP(C13,'KO4'!$D$4:$D$9,1,0))&lt;4,4,999)</f>
        <v>999</v>
      </c>
      <c r="L13" s="2">
        <f ca="1">Start.listina!$K$7</f>
        <v>59</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Orel Řečkovice - Hanák Pavel</v>
      </c>
      <c r="D14" s="2">
        <f ca="1">IF(A14&gt;Start.listina!$K$7,"",INT((A14-1)/$M$2)+1)</f>
        <v>1</v>
      </c>
      <c r="E14" s="293">
        <f ca="1">IF(A14&gt;Start.listina!$K$7,"",MIN(F14:L14))</f>
        <v>32</v>
      </c>
      <c r="F14" s="2">
        <f ca="1">IF(TYPE(VLOOKUP(C14,Konečné_pořadí_1_16!$B$2:$D$17,3,0))&lt;4,VLOOKUP(C14,Konečné_pořadí_1_16!$B$2:$D$17,3,0),999)</f>
        <v>999</v>
      </c>
      <c r="G14" s="2">
        <f ca="1">IF(TYPE(VLOOKUP(C14,'KO64'!$D$4:$D$129,1,0))&lt;4,64,999)</f>
        <v>64</v>
      </c>
      <c r="H14" s="2">
        <f ca="1">IF(TYPE(VLOOKUP(C14,'KO32'!$D$4:$D$65,1,0))&lt;4,32,999)</f>
        <v>32</v>
      </c>
      <c r="I14" s="2">
        <f ca="1">IF(TYPE(VLOOKUP(C14,'KO16'!$D$4:$D$33,1,0))&lt;4,16,999)</f>
        <v>999</v>
      </c>
      <c r="J14" s="2">
        <f ca="1">IF(TYPE(VLOOKUP(C14,'KO8'!$D$4:$D$17,1,0))&lt;4,8,999)</f>
        <v>999</v>
      </c>
      <c r="K14" s="2">
        <f ca="1">IF(TYPE(VLOOKUP(C14,'KO4'!$D$4:$D$9,1,0))&lt;4,4,999)</f>
        <v>999</v>
      </c>
      <c r="L14" s="2">
        <f ca="1">Start.listina!$K$7</f>
        <v>59</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PK Polouvsí - Valošek Radim</v>
      </c>
      <c r="D15" s="2">
        <f ca="1">IF(A15&gt;Start.listina!$K$7,"",INT((A15-1)/$M$2)+1)</f>
        <v>1</v>
      </c>
      <c r="E15" s="293">
        <f ca="1">IF(A15&gt;Start.listina!$K$7,"",MIN(F15:L15))</f>
        <v>32</v>
      </c>
      <c r="F15" s="2">
        <f ca="1">IF(TYPE(VLOOKUP(C15,Konečné_pořadí_1_16!$B$2:$D$17,3,0))&lt;4,VLOOKUP(C15,Konečné_pořadí_1_16!$B$2:$D$17,3,0),999)</f>
        <v>999</v>
      </c>
      <c r="G15" s="2">
        <f ca="1">IF(TYPE(VLOOKUP(C15,'KO64'!$D$4:$D$129,1,0))&lt;4,64,999)</f>
        <v>64</v>
      </c>
      <c r="H15" s="2">
        <f ca="1">IF(TYPE(VLOOKUP(C15,'KO32'!$D$4:$D$65,1,0))&lt;4,32,999)</f>
        <v>32</v>
      </c>
      <c r="I15" s="2">
        <f ca="1">IF(TYPE(VLOOKUP(C15,'KO16'!$D$4:$D$33,1,0))&lt;4,16,999)</f>
        <v>999</v>
      </c>
      <c r="J15" s="2">
        <f ca="1">IF(TYPE(VLOOKUP(C15,'KO8'!$D$4:$D$17,1,0))&lt;4,8,999)</f>
        <v>999</v>
      </c>
      <c r="K15" s="2">
        <f ca="1">IF(TYPE(VLOOKUP(C15,'KO4'!$D$4:$D$9,1,0))&lt;4,4,999)</f>
        <v>999</v>
      </c>
      <c r="L15" s="2">
        <f ca="1">Start.listina!$K$7</f>
        <v>59</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PEK Stolín - Geislerová Veronika</v>
      </c>
      <c r="D16" s="2">
        <f ca="1">IF(A16&gt;Start.listina!$K$7,"",INT((A16-1)/$M$2)+1)</f>
        <v>1</v>
      </c>
      <c r="E16" s="293">
        <f ca="1">IF(A16&gt;Start.listina!$K$7,"",MIN(F16:L16))</f>
        <v>59</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59</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1. KPK Vrchlabí - Hančová Alice</v>
      </c>
      <c r="D17" s="2">
        <f ca="1">IF(A17&gt;Start.listina!$K$7,"",INT((A17-1)/$M$2)+1)</f>
        <v>1</v>
      </c>
      <c r="E17" s="293">
        <f ca="1">IF(A17&gt;Start.listina!$K$7,"",MIN(F17:L17))</f>
        <v>32</v>
      </c>
      <c r="F17" s="2">
        <f ca="1">IF(TYPE(VLOOKUP(C17,Konečné_pořadí_1_16!$B$2:$D$17,3,0))&lt;4,VLOOKUP(C17,Konečné_pořadí_1_16!$B$2:$D$17,3,0),999)</f>
        <v>999</v>
      </c>
      <c r="G17" s="2">
        <f ca="1">IF(TYPE(VLOOKUP(C17,'KO64'!$D$4:$D$129,1,0))&lt;4,64,999)</f>
        <v>64</v>
      </c>
      <c r="H17" s="2">
        <f ca="1">IF(TYPE(VLOOKUP(C17,'KO32'!$D$4:$D$65,1,0))&lt;4,32,999)</f>
        <v>32</v>
      </c>
      <c r="I17" s="2">
        <f ca="1">IF(TYPE(VLOOKUP(C17,'KO16'!$D$4:$D$33,1,0))&lt;4,16,999)</f>
        <v>999</v>
      </c>
      <c r="J17" s="2">
        <f ca="1">IF(TYPE(VLOOKUP(C17,'KO8'!$D$4:$D$17,1,0))&lt;4,8,999)</f>
        <v>999</v>
      </c>
      <c r="K17" s="2">
        <f ca="1">IF(TYPE(VLOOKUP(C17,'KO4'!$D$4:$D$9,1,0))&lt;4,4,999)</f>
        <v>999</v>
      </c>
      <c r="L17" s="2">
        <f ca="1">Start.listina!$K$7</f>
        <v>59</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HAPEK - Bureš st. Pavel</v>
      </c>
      <c r="D18" s="2">
        <f ca="1">IF(A18&gt;Start.listina!$K$7,"",INT((A18-1)/$M$2)+1)</f>
        <v>1</v>
      </c>
      <c r="E18" s="293">
        <f ca="1">IF(A18&gt;Start.listina!$K$7,"",MIN(F18:L18))</f>
        <v>32</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999</v>
      </c>
      <c r="J18" s="2">
        <f ca="1">IF(TYPE(VLOOKUP(C18,'KO8'!$D$4:$D$17,1,0))&lt;4,8,999)</f>
        <v>999</v>
      </c>
      <c r="K18" s="2">
        <f ca="1">IF(TYPE(VLOOKUP(C18,'KO4'!$D$4:$D$9,1,0))&lt;4,4,999)</f>
        <v>999</v>
      </c>
      <c r="L18" s="2">
        <f ca="1">Start.listina!$K$7</f>
        <v>59</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P2</v>
      </c>
      <c r="C19" s="11" t="str">
        <f ca="1">Start.listina!$AL27</f>
        <v>17 SK Sahara Vědomice - Demčíková Jiřina</v>
      </c>
      <c r="D19" s="2">
        <f ca="1">IF(A19&gt;Start.listina!$K$7,"",INT((A19-1)/$M$2)+1)</f>
        <v>2</v>
      </c>
      <c r="E19" s="293">
        <f ca="1">IF(A19&gt;Start.listina!$K$7,"",MIN(F19:L19))</f>
        <v>5</v>
      </c>
      <c r="F19" s="2">
        <f ca="1">IF(TYPE(VLOOKUP(C19,Konečné_pořadí_1_16!$B$2:$D$17,3,0))&lt;4,VLOOKUP(C19,Konečné_pořadí_1_16!$B$2:$D$17,3,0),999)</f>
        <v>5</v>
      </c>
      <c r="G19" s="2">
        <f ca="1">IF(TYPE(VLOOKUP(C19,'KO64'!$D$4:$D$129,1,0))&lt;4,64,999)</f>
        <v>64</v>
      </c>
      <c r="H19" s="2">
        <f ca="1">IF(TYPE(VLOOKUP(C19,'KO32'!$D$4:$D$65,1,0))&lt;4,32,999)</f>
        <v>32</v>
      </c>
      <c r="I19" s="2">
        <f ca="1">IF(TYPE(VLOOKUP(C19,'KO16'!$D$4:$D$33,1,0))&lt;4,16,999)</f>
        <v>16</v>
      </c>
      <c r="J19" s="2">
        <f ca="1">IF(TYPE(VLOOKUP(C19,'KO8'!$D$4:$D$17,1,0))&lt;4,8,999)</f>
        <v>8</v>
      </c>
      <c r="K19" s="2">
        <f ca="1">IF(TYPE(VLOOKUP(C19,'KO4'!$D$4:$D$9,1,0))&lt;4,4,999)</f>
        <v>999</v>
      </c>
      <c r="L19" s="2">
        <f ca="1">Start.listina!$K$7</f>
        <v>59</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O2</v>
      </c>
      <c r="C20" s="11" t="str">
        <f ca="1">Start.listina!$AL28</f>
        <v>18 1. KPK Vrchlabí - Brázda Vladimír</v>
      </c>
      <c r="D20" s="2">
        <f ca="1">IF(A20&gt;Start.listina!$K$7,"",INT((A20-1)/$M$2)+1)</f>
        <v>2</v>
      </c>
      <c r="E20" s="293">
        <f ca="1">IF(A20&gt;Start.listina!$K$7,"",MIN(F20:L20))</f>
        <v>9</v>
      </c>
      <c r="F20" s="2">
        <f ca="1">IF(TYPE(VLOOKUP(C20,Konečné_pořadí_1_16!$B$2:$D$17,3,0))&lt;4,VLOOKUP(C20,Konečné_pořadí_1_16!$B$2:$D$17,3,0),999)</f>
        <v>9</v>
      </c>
      <c r="G20" s="2">
        <f ca="1">IF(TYPE(VLOOKUP(C20,'KO64'!$D$4:$D$129,1,0))&lt;4,64,999)</f>
        <v>64</v>
      </c>
      <c r="H20" s="2">
        <f ca="1">IF(TYPE(VLOOKUP(C20,'KO32'!$D$4:$D$65,1,0))&lt;4,32,999)</f>
        <v>32</v>
      </c>
      <c r="I20" s="2">
        <f ca="1">IF(TYPE(VLOOKUP(C20,'KO16'!$D$4:$D$33,1,0))&lt;4,16,999)</f>
        <v>16</v>
      </c>
      <c r="J20" s="2">
        <f ca="1">IF(TYPE(VLOOKUP(C20,'KO8'!$D$4:$D$17,1,0))&lt;4,8,999)</f>
        <v>999</v>
      </c>
      <c r="K20" s="2">
        <f ca="1">IF(TYPE(VLOOKUP(C20,'KO4'!$D$4:$D$9,1,0))&lt;4,4,999)</f>
        <v>999</v>
      </c>
      <c r="L20" s="2">
        <f ca="1">Start.listina!$K$7</f>
        <v>59</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N2</v>
      </c>
      <c r="C21" s="11" t="str">
        <f ca="1">Start.listina!$AL29</f>
        <v>19 SKP Hranice VI-Valšovice - Gratcl Jiří</v>
      </c>
      <c r="D21" s="2">
        <f ca="1">IF(A21&gt;Start.listina!$K$7,"",INT((A21-1)/$M$2)+1)</f>
        <v>2</v>
      </c>
      <c r="E21" s="293">
        <f ca="1">IF(A21&gt;Start.listina!$K$7,"",MIN(F21:L21))</f>
        <v>12</v>
      </c>
      <c r="F21" s="2">
        <f ca="1">IF(TYPE(VLOOKUP(C21,Konečné_pořadí_1_16!$B$2:$D$17,3,0))&lt;4,VLOOKUP(C21,Konečné_pořadí_1_16!$B$2:$D$17,3,0),999)</f>
        <v>12</v>
      </c>
      <c r="G21" s="2">
        <f ca="1">IF(TYPE(VLOOKUP(C21,'KO64'!$D$4:$D$129,1,0))&lt;4,64,999)</f>
        <v>64</v>
      </c>
      <c r="H21" s="2">
        <f ca="1">IF(TYPE(VLOOKUP(C21,'KO32'!$D$4:$D$65,1,0))&lt;4,32,999)</f>
        <v>32</v>
      </c>
      <c r="I21" s="2">
        <f ca="1">IF(TYPE(VLOOKUP(C21,'KO16'!$D$4:$D$33,1,0))&lt;4,16,999)</f>
        <v>16</v>
      </c>
      <c r="J21" s="2">
        <f ca="1">IF(TYPE(VLOOKUP(C21,'KO8'!$D$4:$D$17,1,0))&lt;4,8,999)</f>
        <v>999</v>
      </c>
      <c r="K21" s="2">
        <f ca="1">IF(TYPE(VLOOKUP(C21,'KO4'!$D$4:$D$9,1,0))&lt;4,4,999)</f>
        <v>999</v>
      </c>
      <c r="L21" s="2">
        <f ca="1">Start.listina!$K$7</f>
        <v>59</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M2</v>
      </c>
      <c r="C22" s="11" t="str">
        <f ca="1">Start.listina!$AL30</f>
        <v>20 Carreau Brno - Pellizon Boris Alfred</v>
      </c>
      <c r="D22" s="2">
        <f ca="1">IF(A22&gt;Start.listina!$K$7,"",INT((A22-1)/$M$2)+1)</f>
        <v>2</v>
      </c>
      <c r="E22" s="293">
        <f ca="1">IF(A22&gt;Start.listina!$K$7,"",MIN(F22:L22))</f>
        <v>32</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999</v>
      </c>
      <c r="J22" s="2">
        <f ca="1">IF(TYPE(VLOOKUP(C22,'KO8'!$D$4:$D$17,1,0))&lt;4,8,999)</f>
        <v>999</v>
      </c>
      <c r="K22" s="2">
        <f ca="1">IF(TYPE(VLOOKUP(C22,'KO4'!$D$4:$D$9,1,0))&lt;4,4,999)</f>
        <v>999</v>
      </c>
      <c r="L22" s="2">
        <f ca="1">Start.listina!$K$7</f>
        <v>59</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L2</v>
      </c>
      <c r="C23" s="11" t="str">
        <f ca="1">Start.listina!$AL31</f>
        <v>21 Carreau Brno - Ferlay Franck</v>
      </c>
      <c r="D23" s="2">
        <f ca="1">IF(A23&gt;Start.listina!$K$7,"",INT((A23-1)/$M$2)+1)</f>
        <v>2</v>
      </c>
      <c r="E23" s="293">
        <f ca="1">IF(A23&gt;Start.listina!$K$7,"",MIN(F23:L23))</f>
        <v>8</v>
      </c>
      <c r="F23" s="2">
        <f ca="1">IF(TYPE(VLOOKUP(C23,Konečné_pořadí_1_16!$B$2:$D$17,3,0))&lt;4,VLOOKUP(C23,Konečné_pořadí_1_16!$B$2:$D$17,3,0),999)</f>
        <v>8</v>
      </c>
      <c r="G23" s="2">
        <f ca="1">IF(TYPE(VLOOKUP(C23,'KO64'!$D$4:$D$129,1,0))&lt;4,64,999)</f>
        <v>64</v>
      </c>
      <c r="H23" s="2">
        <f ca="1">IF(TYPE(VLOOKUP(C23,'KO32'!$D$4:$D$65,1,0))&lt;4,32,999)</f>
        <v>32</v>
      </c>
      <c r="I23" s="2">
        <f ca="1">IF(TYPE(VLOOKUP(C23,'KO16'!$D$4:$D$33,1,0))&lt;4,16,999)</f>
        <v>16</v>
      </c>
      <c r="J23" s="2">
        <f ca="1">IF(TYPE(VLOOKUP(C23,'KO8'!$D$4:$D$17,1,0))&lt;4,8,999)</f>
        <v>8</v>
      </c>
      <c r="K23" s="2">
        <f ca="1">IF(TYPE(VLOOKUP(C23,'KO4'!$D$4:$D$9,1,0))&lt;4,4,999)</f>
        <v>999</v>
      </c>
      <c r="L23" s="2">
        <f ca="1">Start.listina!$K$7</f>
        <v>59</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K2</v>
      </c>
      <c r="C24" s="11" t="str">
        <f ca="1">Start.listina!$AL32</f>
        <v>22 SK Sahara Vědomice - Sekerešová Jindřiška</v>
      </c>
      <c r="D24" s="2">
        <f ca="1">IF(A24&gt;Start.listina!$K$7,"",INT((A24-1)/$M$2)+1)</f>
        <v>2</v>
      </c>
      <c r="E24" s="293">
        <f ca="1">IF(A24&gt;Start.listina!$K$7,"",MIN(F24:L24))</f>
        <v>13</v>
      </c>
      <c r="F24" s="2">
        <f ca="1">IF(TYPE(VLOOKUP(C24,Konečné_pořadí_1_16!$B$2:$D$17,3,0))&lt;4,VLOOKUP(C24,Konečné_pořadí_1_16!$B$2:$D$17,3,0),999)</f>
        <v>13</v>
      </c>
      <c r="G24" s="2">
        <f ca="1">IF(TYPE(VLOOKUP(C24,'KO64'!$D$4:$D$129,1,0))&lt;4,64,999)</f>
        <v>64</v>
      </c>
      <c r="H24" s="2">
        <f ca="1">IF(TYPE(VLOOKUP(C24,'KO32'!$D$4:$D$65,1,0))&lt;4,32,999)</f>
        <v>32</v>
      </c>
      <c r="I24" s="2">
        <f ca="1">IF(TYPE(VLOOKUP(C24,'KO16'!$D$4:$D$33,1,0))&lt;4,16,999)</f>
        <v>16</v>
      </c>
      <c r="J24" s="2">
        <f ca="1">IF(TYPE(VLOOKUP(C24,'KO8'!$D$4:$D$17,1,0))&lt;4,8,999)</f>
        <v>999</v>
      </c>
      <c r="K24" s="2">
        <f ca="1">IF(TYPE(VLOOKUP(C24,'KO4'!$D$4:$D$9,1,0))&lt;4,4,999)</f>
        <v>999</v>
      </c>
      <c r="L24" s="2">
        <f ca="1">Start.listina!$K$7</f>
        <v>59</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J2</v>
      </c>
      <c r="C25" s="11" t="str">
        <f ca="1">Start.listina!$AL33</f>
        <v>23 PLUK Jablonec - Lukáš Petr</v>
      </c>
      <c r="D25" s="2">
        <f ca="1">IF(A25&gt;Start.listina!$K$7,"",INT((A25-1)/$M$2)+1)</f>
        <v>2</v>
      </c>
      <c r="E25" s="293">
        <f ca="1">IF(A25&gt;Start.listina!$K$7,"",MIN(F25:L25))</f>
        <v>11</v>
      </c>
      <c r="F25" s="2">
        <f ca="1">IF(TYPE(VLOOKUP(C25,Konečné_pořadí_1_16!$B$2:$D$17,3,0))&lt;4,VLOOKUP(C25,Konečné_pořadí_1_16!$B$2:$D$17,3,0),999)</f>
        <v>11</v>
      </c>
      <c r="G25" s="2">
        <f ca="1">IF(TYPE(VLOOKUP(C25,'KO64'!$D$4:$D$129,1,0))&lt;4,64,999)</f>
        <v>64</v>
      </c>
      <c r="H25" s="2">
        <f ca="1">IF(TYPE(VLOOKUP(C25,'KO32'!$D$4:$D$65,1,0))&lt;4,32,999)</f>
        <v>32</v>
      </c>
      <c r="I25" s="2">
        <f ca="1">IF(TYPE(VLOOKUP(C25,'KO16'!$D$4:$D$33,1,0))&lt;4,16,999)</f>
        <v>16</v>
      </c>
      <c r="J25" s="2">
        <f ca="1">IF(TYPE(VLOOKUP(C25,'KO8'!$D$4:$D$17,1,0))&lt;4,8,999)</f>
        <v>999</v>
      </c>
      <c r="K25" s="2">
        <f ca="1">IF(TYPE(VLOOKUP(C25,'KO4'!$D$4:$D$9,1,0))&lt;4,4,999)</f>
        <v>999</v>
      </c>
      <c r="L25" s="2">
        <f ca="1">Start.listina!$K$7</f>
        <v>59</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I2</v>
      </c>
      <c r="C26" s="11" t="str">
        <f ca="1">Start.listina!$AL34</f>
        <v>24 SPORT Kolín - Šternberg Martin</v>
      </c>
      <c r="D26" s="2">
        <f ca="1">IF(A26&gt;Start.listina!$K$7,"",INT((A26-1)/$M$2)+1)</f>
        <v>2</v>
      </c>
      <c r="E26" s="293">
        <f ca="1">IF(A26&gt;Start.listina!$K$7,"",MIN(F26:L26))</f>
        <v>32</v>
      </c>
      <c r="F26" s="2">
        <f ca="1">IF(TYPE(VLOOKUP(C26,Konečné_pořadí_1_16!$B$2:$D$17,3,0))&lt;4,VLOOKUP(C26,Konečné_pořadí_1_16!$B$2:$D$17,3,0),999)</f>
        <v>999</v>
      </c>
      <c r="G26" s="2">
        <f ca="1">IF(TYPE(VLOOKUP(C26,'KO64'!$D$4:$D$129,1,0))&lt;4,64,999)</f>
        <v>64</v>
      </c>
      <c r="H26" s="2">
        <f ca="1">IF(TYPE(VLOOKUP(C26,'KO32'!$D$4:$D$65,1,0))&lt;4,32,999)</f>
        <v>32</v>
      </c>
      <c r="I26" s="2">
        <f ca="1">IF(TYPE(VLOOKUP(C26,'KO16'!$D$4:$D$33,1,0))&lt;4,16,999)</f>
        <v>999</v>
      </c>
      <c r="J26" s="2">
        <f ca="1">IF(TYPE(VLOOKUP(C26,'KO8'!$D$4:$D$17,1,0))&lt;4,8,999)</f>
        <v>999</v>
      </c>
      <c r="K26" s="2">
        <f ca="1">IF(TYPE(VLOOKUP(C26,'KO4'!$D$4:$D$9,1,0))&lt;4,4,999)</f>
        <v>999</v>
      </c>
      <c r="L26" s="2">
        <f ca="1">Start.listina!$K$7</f>
        <v>59</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H2</v>
      </c>
      <c r="C27" s="11" t="str">
        <f ca="1">Start.listina!$AL35</f>
        <v>25 1. Starobrněnský PK - Strouhalová Terezie</v>
      </c>
      <c r="D27" s="2">
        <f ca="1">IF(A27&gt;Start.listina!$K$7,"",INT((A27-1)/$M$2)+1)</f>
        <v>2</v>
      </c>
      <c r="E27" s="293">
        <f ca="1">IF(A27&gt;Start.listina!$K$7,"",MIN(F27:L27))</f>
        <v>59</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59</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G2</v>
      </c>
      <c r="C28" s="11" t="str">
        <f ca="1">Start.listina!$AL36</f>
        <v>26 HAVAJ CB - Koreš st. Jiří</v>
      </c>
      <c r="D28" s="2">
        <f ca="1">IF(A28&gt;Start.listina!$K$7,"",INT((A28-1)/$M$2)+1)</f>
        <v>2</v>
      </c>
      <c r="E28" s="293">
        <f ca="1">IF(A28&gt;Start.listina!$K$7,"",MIN(F28:L28))</f>
        <v>3</v>
      </c>
      <c r="F28" s="2">
        <f ca="1">IF(TYPE(VLOOKUP(C28,Konečné_pořadí_1_16!$B$2:$D$17,3,0))&lt;4,VLOOKUP(C28,Konečné_pořadí_1_16!$B$2:$D$17,3,0),999)</f>
        <v>3</v>
      </c>
      <c r="G28" s="2">
        <f ca="1">IF(TYPE(VLOOKUP(C28,'KO64'!$D$4:$D$129,1,0))&lt;4,64,999)</f>
        <v>64</v>
      </c>
      <c r="H28" s="2">
        <f ca="1">IF(TYPE(VLOOKUP(C28,'KO32'!$D$4:$D$65,1,0))&lt;4,32,999)</f>
        <v>32</v>
      </c>
      <c r="I28" s="2">
        <f ca="1">IF(TYPE(VLOOKUP(C28,'KO16'!$D$4:$D$33,1,0))&lt;4,16,999)</f>
        <v>16</v>
      </c>
      <c r="J28" s="2">
        <f ca="1">IF(TYPE(VLOOKUP(C28,'KO8'!$D$4:$D$17,1,0))&lt;4,8,999)</f>
        <v>8</v>
      </c>
      <c r="K28" s="2">
        <f ca="1">IF(TYPE(VLOOKUP(C28,'KO4'!$D$4:$D$9,1,0))&lt;4,4,999)</f>
        <v>4</v>
      </c>
      <c r="L28" s="2">
        <f ca="1">Start.listina!$K$7</f>
        <v>59</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F2</v>
      </c>
      <c r="C29" s="11" t="str">
        <f ca="1">Start.listina!$AL37</f>
        <v>27 1. KPK Vrchlabí - Kapeš Roman</v>
      </c>
      <c r="D29" s="2">
        <f ca="1">IF(A29&gt;Start.listina!$K$7,"",INT((A29-1)/$M$2)+1)</f>
        <v>2</v>
      </c>
      <c r="E29" s="293">
        <f ca="1">IF(A29&gt;Start.listina!$K$7,"",MIN(F29:L29))</f>
        <v>32</v>
      </c>
      <c r="F29" s="2">
        <f ca="1">IF(TYPE(VLOOKUP(C29,Konečné_pořadí_1_16!$B$2:$D$17,3,0))&lt;4,VLOOKUP(C29,Konečné_pořadí_1_16!$B$2:$D$17,3,0),999)</f>
        <v>999</v>
      </c>
      <c r="G29" s="2">
        <f ca="1">IF(TYPE(VLOOKUP(C29,'KO64'!$D$4:$D$129,1,0))&lt;4,64,999)</f>
        <v>64</v>
      </c>
      <c r="H29" s="2">
        <f ca="1">IF(TYPE(VLOOKUP(C29,'KO32'!$D$4:$D$65,1,0))&lt;4,32,999)</f>
        <v>32</v>
      </c>
      <c r="I29" s="2">
        <f ca="1">IF(TYPE(VLOOKUP(C29,'KO16'!$D$4:$D$33,1,0))&lt;4,16,999)</f>
        <v>999</v>
      </c>
      <c r="J29" s="2">
        <f ca="1">IF(TYPE(VLOOKUP(C29,'KO8'!$D$4:$D$17,1,0))&lt;4,8,999)</f>
        <v>999</v>
      </c>
      <c r="K29" s="2">
        <f ca="1">IF(TYPE(VLOOKUP(C29,'KO4'!$D$4:$D$9,1,0))&lt;4,4,999)</f>
        <v>999</v>
      </c>
      <c r="L29" s="2">
        <f ca="1">Start.listina!$K$7</f>
        <v>59</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E2</v>
      </c>
      <c r="C30" s="11" t="str">
        <f ca="1">Start.listina!$AL38</f>
        <v>28 Petank Club Praha - Kašparová Barbora</v>
      </c>
      <c r="D30" s="2">
        <f ca="1">IF(A30&gt;Start.listina!$K$7,"",INT((A30-1)/$M$2)+1)</f>
        <v>2</v>
      </c>
      <c r="E30" s="293">
        <f ca="1">IF(A30&gt;Start.listina!$K$7,"",MIN(F30:L30))</f>
        <v>59</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59</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D2</v>
      </c>
      <c r="C31" s="11" t="str">
        <f ca="1">Start.listina!$AL39</f>
        <v>29 Carreau Brno - Grepl Jiří</v>
      </c>
      <c r="D31" s="2">
        <f ca="1">IF(A31&gt;Start.listina!$K$7,"",INT((A31-1)/$M$2)+1)</f>
        <v>2</v>
      </c>
      <c r="E31" s="293">
        <f ca="1">IF(A31&gt;Start.listina!$K$7,"",MIN(F31:L31))</f>
        <v>2</v>
      </c>
      <c r="F31" s="2">
        <f ca="1">IF(TYPE(VLOOKUP(C31,Konečné_pořadí_1_16!$B$2:$D$17,3,0))&lt;4,VLOOKUP(C31,Konečné_pořadí_1_16!$B$2:$D$17,3,0),999)</f>
        <v>2</v>
      </c>
      <c r="G31" s="2">
        <f ca="1">IF(TYPE(VLOOKUP(C31,'KO64'!$D$4:$D$129,1,0))&lt;4,64,999)</f>
        <v>64</v>
      </c>
      <c r="H31" s="2">
        <f ca="1">IF(TYPE(VLOOKUP(C31,'KO32'!$D$4:$D$65,1,0))&lt;4,32,999)</f>
        <v>32</v>
      </c>
      <c r="I31" s="2">
        <f ca="1">IF(TYPE(VLOOKUP(C31,'KO16'!$D$4:$D$33,1,0))&lt;4,16,999)</f>
        <v>16</v>
      </c>
      <c r="J31" s="2">
        <f ca="1">IF(TYPE(VLOOKUP(C31,'KO8'!$D$4:$D$17,1,0))&lt;4,8,999)</f>
        <v>8</v>
      </c>
      <c r="K31" s="2">
        <f ca="1">IF(TYPE(VLOOKUP(C31,'KO4'!$D$4:$D$9,1,0))&lt;4,4,999)</f>
        <v>4</v>
      </c>
      <c r="L31" s="2">
        <f ca="1">Start.listina!$K$7</f>
        <v>59</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C2</v>
      </c>
      <c r="C32" s="11" t="str">
        <f ca="1">Start.listina!$AL40</f>
        <v>30 SKP Kulová osma - Krejčín Leoš</v>
      </c>
      <c r="D32" s="2">
        <f ca="1">IF(A32&gt;Start.listina!$K$7,"",INT((A32-1)/$M$2)+1)</f>
        <v>2</v>
      </c>
      <c r="E32" s="293">
        <f ca="1">IF(A32&gt;Start.listina!$K$7,"",MIN(F32:L32))</f>
        <v>59</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59</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B2</v>
      </c>
      <c r="C33" s="11" t="str">
        <f ca="1">Start.listina!$AL41</f>
        <v>31 PC Mimo Done - Šídlová Lucie</v>
      </c>
      <c r="D33" s="2">
        <f ca="1">IF(A33&gt;Start.listina!$K$7,"",INT((A33-1)/$M$2)+1)</f>
        <v>2</v>
      </c>
      <c r="E33" s="293">
        <f ca="1">IF(A33&gt;Start.listina!$K$7,"",MIN(F33:L33))</f>
        <v>32</v>
      </c>
      <c r="F33" s="2">
        <f ca="1">IF(TYPE(VLOOKUP(C33,Konečné_pořadí_1_16!$B$2:$D$17,3,0))&lt;4,VLOOKUP(C33,Konečné_pořadí_1_16!$B$2:$D$17,3,0),999)</f>
        <v>999</v>
      </c>
      <c r="G33" s="2">
        <f ca="1">IF(TYPE(VLOOKUP(C33,'KO64'!$D$4:$D$129,1,0))&lt;4,64,999)</f>
        <v>64</v>
      </c>
      <c r="H33" s="2">
        <f ca="1">IF(TYPE(VLOOKUP(C33,'KO32'!$D$4:$D$65,1,0))&lt;4,32,999)</f>
        <v>32</v>
      </c>
      <c r="I33" s="2">
        <f ca="1">IF(TYPE(VLOOKUP(C33,'KO16'!$D$4:$D$33,1,0))&lt;4,16,999)</f>
        <v>999</v>
      </c>
      <c r="J33" s="2">
        <f ca="1">IF(TYPE(VLOOKUP(C33,'KO8'!$D$4:$D$17,1,0))&lt;4,8,999)</f>
        <v>999</v>
      </c>
      <c r="K33" s="2">
        <f ca="1">IF(TYPE(VLOOKUP(C33,'KO4'!$D$4:$D$9,1,0))&lt;4,4,999)</f>
        <v>999</v>
      </c>
      <c r="L33" s="2">
        <f ca="1">Start.listina!$K$7</f>
        <v>59</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A2</v>
      </c>
      <c r="C34" s="11" t="str">
        <f ca="1">Start.listina!$AL42</f>
        <v>32 Petank Club Praha - Maňák Jan</v>
      </c>
      <c r="D34" s="2">
        <f ca="1">IF(A34&gt;Start.listina!$K$7,"",INT((A34-1)/$M$2)+1)</f>
        <v>2</v>
      </c>
      <c r="E34" s="293">
        <f ca="1">IF(A34&gt;Start.listina!$K$7,"",MIN(F34:L34))</f>
        <v>59</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59</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A3</v>
      </c>
      <c r="C35" s="11" t="str">
        <f ca="1">Start.listina!$AL43</f>
        <v>33 HRODE KRUMSÍN - Ptáčková Eliška</v>
      </c>
      <c r="D35" s="2">
        <f ca="1">IF(A35&gt;Start.listina!$K$7,"",INT((A35-1)/$M$2)+1)</f>
        <v>3</v>
      </c>
      <c r="E35" s="293">
        <f ca="1">IF(A35&gt;Start.listina!$K$7,"",MIN(F35:L35))</f>
        <v>32</v>
      </c>
      <c r="F35" s="2">
        <f ca="1">IF(TYPE(VLOOKUP(C35,Konečné_pořadí_1_16!$B$2:$D$17,3,0))&lt;4,VLOOKUP(C35,Konečné_pořadí_1_16!$B$2:$D$17,3,0),999)</f>
        <v>999</v>
      </c>
      <c r="G35" s="2">
        <f ca="1">IF(TYPE(VLOOKUP(C35,'KO64'!$D$4:$D$129,1,0))&lt;4,64,999)</f>
        <v>64</v>
      </c>
      <c r="H35" s="2">
        <f ca="1">IF(TYPE(VLOOKUP(C35,'KO32'!$D$4:$D$65,1,0))&lt;4,32,999)</f>
        <v>32</v>
      </c>
      <c r="I35" s="2">
        <f ca="1">IF(TYPE(VLOOKUP(C35,'KO16'!$D$4:$D$33,1,0))&lt;4,16,999)</f>
        <v>999</v>
      </c>
      <c r="J35" s="2">
        <f ca="1">IF(TYPE(VLOOKUP(C35,'KO8'!$D$4:$D$17,1,0))&lt;4,8,999)</f>
        <v>999</v>
      </c>
      <c r="K35" s="2">
        <f ca="1">IF(TYPE(VLOOKUP(C35,'KO4'!$D$4:$D$9,1,0))&lt;4,4,999)</f>
        <v>999</v>
      </c>
      <c r="L35" s="2">
        <f ca="1">Start.listina!$K$7</f>
        <v>59</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B3</v>
      </c>
      <c r="C36" s="11" t="str">
        <f ca="1">Start.listina!$AL44</f>
        <v>34 CdP Loděnice - Jirkovský Tomáš</v>
      </c>
      <c r="D36" s="2">
        <f ca="1">IF(A36&gt;Start.listina!$K$7,"",INT((A36-1)/$M$2)+1)</f>
        <v>3</v>
      </c>
      <c r="E36" s="293">
        <f ca="1">IF(A36&gt;Start.listina!$K$7,"",MIN(F36:L36))</f>
        <v>59</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59</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C3</v>
      </c>
      <c r="C37" s="11" t="str">
        <f ca="1">Start.listina!$AL45</f>
        <v>35 PKT Velký Šanc - Horálek Jiří</v>
      </c>
      <c r="D37" s="2">
        <f ca="1">IF(A37&gt;Start.listina!$K$7,"",INT((A37-1)/$M$2)+1)</f>
        <v>3</v>
      </c>
      <c r="E37" s="293">
        <f ca="1">IF(A37&gt;Start.listina!$K$7,"",MIN(F37:L37))</f>
        <v>32</v>
      </c>
      <c r="F37" s="2">
        <f ca="1">IF(TYPE(VLOOKUP(C37,Konečné_pořadí_1_16!$B$2:$D$17,3,0))&lt;4,VLOOKUP(C37,Konečné_pořadí_1_16!$B$2:$D$17,3,0),999)</f>
        <v>999</v>
      </c>
      <c r="G37" s="2">
        <f ca="1">IF(TYPE(VLOOKUP(C37,'KO64'!$D$4:$D$129,1,0))&lt;4,64,999)</f>
        <v>64</v>
      </c>
      <c r="H37" s="2">
        <f ca="1">IF(TYPE(VLOOKUP(C37,'KO32'!$D$4:$D$65,1,0))&lt;4,32,999)</f>
        <v>32</v>
      </c>
      <c r="I37" s="2">
        <f ca="1">IF(TYPE(VLOOKUP(C37,'KO16'!$D$4:$D$33,1,0))&lt;4,16,999)</f>
        <v>999</v>
      </c>
      <c r="J37" s="2">
        <f ca="1">IF(TYPE(VLOOKUP(C37,'KO8'!$D$4:$D$17,1,0))&lt;4,8,999)</f>
        <v>999</v>
      </c>
      <c r="K37" s="2">
        <f ca="1">IF(TYPE(VLOOKUP(C37,'KO4'!$D$4:$D$9,1,0))&lt;4,4,999)</f>
        <v>999</v>
      </c>
      <c r="L37" s="2">
        <f ca="1">Start.listina!$K$7</f>
        <v>59</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D3</v>
      </c>
      <c r="C38" s="11" t="str">
        <f ca="1">Start.listina!$AL46</f>
        <v>36 HRODE KRUMSÍN - Rolínek Michal</v>
      </c>
      <c r="D38" s="2">
        <f ca="1">IF(A38&gt;Start.listina!$K$7,"",INT((A38-1)/$M$2)+1)</f>
        <v>3</v>
      </c>
      <c r="E38" s="293">
        <f ca="1">IF(A38&gt;Start.listina!$K$7,"",MIN(F38:L38))</f>
        <v>59</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59</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E3</v>
      </c>
      <c r="C39" s="11" t="str">
        <f ca="1">Start.listina!$AL47</f>
        <v>37 PC Sokol Lipník - Šplechtová Dana</v>
      </c>
      <c r="D39" s="2">
        <f ca="1">IF(A39&gt;Start.listina!$K$7,"",INT((A39-1)/$M$2)+1)</f>
        <v>3</v>
      </c>
      <c r="E39" s="293">
        <f ca="1">IF(A39&gt;Start.listina!$K$7,"",MIN(F39:L39))</f>
        <v>32</v>
      </c>
      <c r="F39" s="2">
        <f ca="1">IF(TYPE(VLOOKUP(C39,Konečné_pořadí_1_16!$B$2:$D$17,3,0))&lt;4,VLOOKUP(C39,Konečné_pořadí_1_16!$B$2:$D$17,3,0),999)</f>
        <v>999</v>
      </c>
      <c r="G39" s="2">
        <f ca="1">IF(TYPE(VLOOKUP(C39,'KO64'!$D$4:$D$129,1,0))&lt;4,64,999)</f>
        <v>64</v>
      </c>
      <c r="H39" s="2">
        <f ca="1">IF(TYPE(VLOOKUP(C39,'KO32'!$D$4:$D$65,1,0))&lt;4,32,999)</f>
        <v>32</v>
      </c>
      <c r="I39" s="2">
        <f ca="1">IF(TYPE(VLOOKUP(C39,'KO16'!$D$4:$D$33,1,0))&lt;4,16,999)</f>
        <v>999</v>
      </c>
      <c r="J39" s="2">
        <f ca="1">IF(TYPE(VLOOKUP(C39,'KO8'!$D$4:$D$17,1,0))&lt;4,8,999)</f>
        <v>999</v>
      </c>
      <c r="K39" s="2">
        <f ca="1">IF(TYPE(VLOOKUP(C39,'KO4'!$D$4:$D$9,1,0))&lt;4,4,999)</f>
        <v>999</v>
      </c>
      <c r="L39" s="2">
        <f ca="1">Start.listina!$K$7</f>
        <v>59</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F3</v>
      </c>
      <c r="C40" s="11" t="str">
        <f ca="1">Start.listina!$AL48</f>
        <v>38 UBU Únětice - Křížek Evžen</v>
      </c>
      <c r="D40" s="2">
        <f ca="1">IF(A40&gt;Start.listina!$K$7,"",INT((A40-1)/$M$2)+1)</f>
        <v>3</v>
      </c>
      <c r="E40" s="293">
        <f ca="1">IF(A40&gt;Start.listina!$K$7,"",MIN(F40:L40))</f>
        <v>59</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59</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G3</v>
      </c>
      <c r="C41" s="11" t="str">
        <f ca="1">Start.listina!$AL49</f>
        <v>39 Orel Řečkovice - Mareček Pavel</v>
      </c>
      <c r="D41" s="2">
        <f ca="1">IF(A41&gt;Start.listina!$K$7,"",INT((A41-1)/$M$2)+1)</f>
        <v>3</v>
      </c>
      <c r="E41" s="293">
        <f ca="1">IF(A41&gt;Start.listina!$K$7,"",MIN(F41:L41))</f>
        <v>59</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59</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H3</v>
      </c>
      <c r="C42" s="11" t="str">
        <f ca="1">Start.listina!$AL50</f>
        <v>40 PC Mimo Done - Šíma Jaroslav</v>
      </c>
      <c r="D42" s="2">
        <f ca="1">IF(A42&gt;Start.listina!$K$7,"",INT((A42-1)/$M$2)+1)</f>
        <v>3</v>
      </c>
      <c r="E42" s="293">
        <f ca="1">IF(A42&gt;Start.listina!$K$7,"",MIN(F42:L42))</f>
        <v>32</v>
      </c>
      <c r="F42" s="2">
        <f ca="1">IF(TYPE(VLOOKUP(C42,Konečné_pořadí_1_16!$B$2:$D$17,3,0))&lt;4,VLOOKUP(C42,Konečné_pořadí_1_16!$B$2:$D$17,3,0),999)</f>
        <v>999</v>
      </c>
      <c r="G42" s="2">
        <f ca="1">IF(TYPE(VLOOKUP(C42,'KO64'!$D$4:$D$129,1,0))&lt;4,64,999)</f>
        <v>64</v>
      </c>
      <c r="H42" s="2">
        <f ca="1">IF(TYPE(VLOOKUP(C42,'KO32'!$D$4:$D$65,1,0))&lt;4,32,999)</f>
        <v>32</v>
      </c>
      <c r="I42" s="2">
        <f ca="1">IF(TYPE(VLOOKUP(C42,'KO16'!$D$4:$D$33,1,0))&lt;4,16,999)</f>
        <v>999</v>
      </c>
      <c r="J42" s="2">
        <f ca="1">IF(TYPE(VLOOKUP(C42,'KO8'!$D$4:$D$17,1,0))&lt;4,8,999)</f>
        <v>999</v>
      </c>
      <c r="K42" s="2">
        <f ca="1">IF(TYPE(VLOOKUP(C42,'KO4'!$D$4:$D$9,1,0))&lt;4,4,999)</f>
        <v>999</v>
      </c>
      <c r="L42" s="2">
        <f ca="1">Start.listina!$K$7</f>
        <v>59</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I3</v>
      </c>
      <c r="C43" s="11" t="str">
        <f ca="1">Start.listina!$AL51</f>
        <v>41 PC Sokol PP Hr. Králové - Melgr Jan</v>
      </c>
      <c r="D43" s="2">
        <f ca="1">IF(A43&gt;Start.listina!$K$7,"",INT((A43-1)/$M$2)+1)</f>
        <v>3</v>
      </c>
      <c r="E43" s="293">
        <f ca="1">IF(A43&gt;Start.listina!$K$7,"",MIN(F43:L43))</f>
        <v>16</v>
      </c>
      <c r="F43" s="2">
        <f ca="1">IF(TYPE(VLOOKUP(C43,Konečné_pořadí_1_16!$B$2:$D$17,3,0))&lt;4,VLOOKUP(C43,Konečné_pořadí_1_16!$B$2:$D$17,3,0),999)</f>
        <v>16</v>
      </c>
      <c r="G43" s="2">
        <f ca="1">IF(TYPE(VLOOKUP(C43,'KO64'!$D$4:$D$129,1,0))&lt;4,64,999)</f>
        <v>64</v>
      </c>
      <c r="H43" s="2">
        <f ca="1">IF(TYPE(VLOOKUP(C43,'KO32'!$D$4:$D$65,1,0))&lt;4,32,999)</f>
        <v>32</v>
      </c>
      <c r="I43" s="2">
        <f ca="1">IF(TYPE(VLOOKUP(C43,'KO16'!$D$4:$D$33,1,0))&lt;4,16,999)</f>
        <v>16</v>
      </c>
      <c r="J43" s="2">
        <f ca="1">IF(TYPE(VLOOKUP(C43,'KO8'!$D$4:$D$17,1,0))&lt;4,8,999)</f>
        <v>999</v>
      </c>
      <c r="K43" s="2">
        <f ca="1">IF(TYPE(VLOOKUP(C43,'KO4'!$D$4:$D$9,1,0))&lt;4,4,999)</f>
        <v>999</v>
      </c>
      <c r="L43" s="2">
        <f ca="1">Start.listina!$K$7</f>
        <v>59</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J3</v>
      </c>
      <c r="C44" s="11" t="str">
        <f ca="1">Start.listina!$AL52</f>
        <v>42 SK Sahara Vědomice - Piller Tomáš</v>
      </c>
      <c r="D44" s="2">
        <f ca="1">IF(A44&gt;Start.listina!$K$7,"",INT((A44-1)/$M$2)+1)</f>
        <v>3</v>
      </c>
      <c r="E44" s="293">
        <f ca="1">IF(A44&gt;Start.listina!$K$7,"",MIN(F44:L44))</f>
        <v>32</v>
      </c>
      <c r="F44" s="2">
        <f ca="1">IF(TYPE(VLOOKUP(C44,Konečné_pořadí_1_16!$B$2:$D$17,3,0))&lt;4,VLOOKUP(C44,Konečné_pořadí_1_16!$B$2:$D$17,3,0),999)</f>
        <v>999</v>
      </c>
      <c r="G44" s="2">
        <f ca="1">IF(TYPE(VLOOKUP(C44,'KO64'!$D$4:$D$129,1,0))&lt;4,64,999)</f>
        <v>64</v>
      </c>
      <c r="H44" s="2">
        <f ca="1">IF(TYPE(VLOOKUP(C44,'KO32'!$D$4:$D$65,1,0))&lt;4,32,999)</f>
        <v>32</v>
      </c>
      <c r="I44" s="2">
        <f ca="1">IF(TYPE(VLOOKUP(C44,'KO16'!$D$4:$D$33,1,0))&lt;4,16,999)</f>
        <v>999</v>
      </c>
      <c r="J44" s="2">
        <f ca="1">IF(TYPE(VLOOKUP(C44,'KO8'!$D$4:$D$17,1,0))&lt;4,8,999)</f>
        <v>999</v>
      </c>
      <c r="K44" s="2">
        <f ca="1">IF(TYPE(VLOOKUP(C44,'KO4'!$D$4:$D$9,1,0))&lt;4,4,999)</f>
        <v>999</v>
      </c>
      <c r="L44" s="2">
        <f ca="1">Start.listina!$K$7</f>
        <v>59</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K3</v>
      </c>
      <c r="C45" s="11" t="str">
        <f ca="1">Start.listina!$AL53</f>
        <v>43 SK Pétanque Řepy - Vodehnalová Jindra</v>
      </c>
      <c r="D45" s="2">
        <f ca="1">IF(A45&gt;Start.listina!$K$7,"",INT((A45-1)/$M$2)+1)</f>
        <v>3</v>
      </c>
      <c r="E45" s="293">
        <f ca="1">IF(A45&gt;Start.listina!$K$7,"",MIN(F45:L45))</f>
        <v>59</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59</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L3</v>
      </c>
      <c r="C46" s="11" t="str">
        <f ca="1">Start.listina!$AL54</f>
        <v>44 SKP Kulová osma - Chmelař Ivo</v>
      </c>
      <c r="D46" s="2">
        <f ca="1">IF(A46&gt;Start.listina!$K$7,"",INT((A46-1)/$M$2)+1)</f>
        <v>3</v>
      </c>
      <c r="E46" s="293">
        <f ca="1">IF(A46&gt;Start.listina!$K$7,"",MIN(F46:L46))</f>
        <v>59</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59</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M3</v>
      </c>
      <c r="C47" s="11" t="str">
        <f ca="1">Start.listina!$AL55</f>
        <v>45 PSK Jihlava - Lujková Klára</v>
      </c>
      <c r="D47" s="2">
        <f ca="1">IF(A47&gt;Start.listina!$K$7,"",INT((A47-1)/$M$2)+1)</f>
        <v>3</v>
      </c>
      <c r="E47" s="293">
        <f ca="1">IF(A47&gt;Start.listina!$K$7,"",MIN(F47:L47))</f>
        <v>59</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59</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N3</v>
      </c>
      <c r="C48" s="11" t="str">
        <f ca="1">Start.listina!$AL56</f>
        <v>46 SK Sahara Vědomice - Horáčková Simona</v>
      </c>
      <c r="D48" s="2">
        <f ca="1">IF(A48&gt;Start.listina!$K$7,"",INT((A48-1)/$M$2)+1)</f>
        <v>3</v>
      </c>
      <c r="E48" s="293">
        <f ca="1">IF(A48&gt;Start.listina!$K$7,"",MIN(F48:L48))</f>
        <v>59</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59</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O3</v>
      </c>
      <c r="C49" s="11" t="str">
        <f ca="1">Start.listina!$AL57</f>
        <v>47 1. Starobrněnský PK - Petrželka Josef</v>
      </c>
      <c r="D49" s="2">
        <f ca="1">IF(A49&gt;Start.listina!$K$7,"",INT((A49-1)/$M$2)+1)</f>
        <v>3</v>
      </c>
      <c r="E49" s="293">
        <f ca="1">IF(A49&gt;Start.listina!$K$7,"",MIN(F49:L49))</f>
        <v>59</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59</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P3</v>
      </c>
      <c r="C50" s="11" t="str">
        <f ca="1">Start.listina!$AL58</f>
        <v>48 SK Pétanque Řepy - Hladík Jaroslav</v>
      </c>
      <c r="D50" s="2">
        <f ca="1">IF(A50&gt;Start.listina!$K$7,"",INT((A50-1)/$M$2)+1)</f>
        <v>3</v>
      </c>
      <c r="E50" s="293">
        <f ca="1">IF(A50&gt;Start.listina!$K$7,"",MIN(F50:L50))</f>
        <v>59</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59</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P4</v>
      </c>
      <c r="C51" s="11" t="str">
        <f ca="1">Start.listina!$AL59</f>
        <v>49 PK Polouvsí - Grepl Zbyněk</v>
      </c>
      <c r="D51" s="2">
        <f ca="1">IF(A51&gt;Start.listina!$K$7,"",INT((A51-1)/$M$2)+1)</f>
        <v>4</v>
      </c>
      <c r="E51" s="293">
        <f ca="1">IF(A51&gt;Start.listina!$K$7,"",MIN(F51:L51))</f>
        <v>59</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59</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O4</v>
      </c>
      <c r="C52" s="11" t="str">
        <f ca="1">Start.listina!$AL60</f>
        <v>50 PK Polouvsí - Rusek Luboš</v>
      </c>
      <c r="D52" s="2">
        <f ca="1">IF(A52&gt;Start.listina!$K$7,"",INT((A52-1)/$M$2)+1)</f>
        <v>4</v>
      </c>
      <c r="E52" s="293">
        <f ca="1">IF(A52&gt;Start.listina!$K$7,"",MIN(F52:L52))</f>
        <v>59</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59</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N4</v>
      </c>
      <c r="C53" s="11" t="str">
        <f ca="1">Start.listina!$AL61</f>
        <v>51 UBU Únětice - Fuksa Petr</v>
      </c>
      <c r="D53" s="2">
        <f ca="1">IF(A53&gt;Start.listina!$K$7,"",INT((A53-1)/$M$2)+1)</f>
        <v>4</v>
      </c>
      <c r="E53" s="293">
        <f ca="1">IF(A53&gt;Start.listina!$K$7,"",MIN(F53:L53))</f>
        <v>15</v>
      </c>
      <c r="F53" s="2">
        <f ca="1">IF(TYPE(VLOOKUP(C53,Konečné_pořadí_1_16!$B$2:$D$17,3,0))&lt;4,VLOOKUP(C53,Konečné_pořadí_1_16!$B$2:$D$17,3,0),999)</f>
        <v>15</v>
      </c>
      <c r="G53" s="2">
        <f ca="1">IF(TYPE(VLOOKUP(C53,'KO64'!$D$4:$D$129,1,0))&lt;4,64,999)</f>
        <v>64</v>
      </c>
      <c r="H53" s="2">
        <f ca="1">IF(TYPE(VLOOKUP(C53,'KO32'!$D$4:$D$65,1,0))&lt;4,32,999)</f>
        <v>32</v>
      </c>
      <c r="I53" s="2">
        <f ca="1">IF(TYPE(VLOOKUP(C53,'KO16'!$D$4:$D$33,1,0))&lt;4,16,999)</f>
        <v>16</v>
      </c>
      <c r="J53" s="2">
        <f ca="1">IF(TYPE(VLOOKUP(C53,'KO8'!$D$4:$D$17,1,0))&lt;4,8,999)</f>
        <v>999</v>
      </c>
      <c r="K53" s="2">
        <f ca="1">IF(TYPE(VLOOKUP(C53,'KO4'!$D$4:$D$9,1,0))&lt;4,4,999)</f>
        <v>999</v>
      </c>
      <c r="L53" s="2">
        <f ca="1">Start.listina!$K$7</f>
        <v>59</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M4</v>
      </c>
      <c r="C54" s="11" t="str">
        <f ca="1">Start.listina!$AL62</f>
        <v>52 Carreau Brno - Grepl Kamila</v>
      </c>
      <c r="D54" s="2">
        <f ca="1">IF(A54&gt;Start.listina!$K$7,"",INT((A54-1)/$M$2)+1)</f>
        <v>4</v>
      </c>
      <c r="E54" s="293">
        <f ca="1">IF(A54&gt;Start.listina!$K$7,"",MIN(F54:L54))</f>
        <v>59</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59</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L4</v>
      </c>
      <c r="C55" s="11" t="str">
        <f ca="1">Start.listina!$AL63</f>
        <v>53 PC Sokol Velim - Sudoměřický Tomáš</v>
      </c>
      <c r="D55" s="2">
        <f ca="1">IF(A55&gt;Start.listina!$K$7,"",INT((A55-1)/$M$2)+1)</f>
        <v>4</v>
      </c>
      <c r="E55" s="293">
        <f ca="1">IF(A55&gt;Start.listina!$K$7,"",MIN(F55:L55))</f>
        <v>59</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59</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K4</v>
      </c>
      <c r="C56" s="11" t="str">
        <f ca="1">Start.listina!$AL64</f>
        <v>54 PO Chotěboř - Holenda Milan</v>
      </c>
      <c r="D56" s="2">
        <f ca="1">IF(A56&gt;Start.listina!$K$7,"",INT((A56-1)/$M$2)+1)</f>
        <v>4</v>
      </c>
      <c r="E56" s="293">
        <f ca="1">IF(A56&gt;Start.listina!$K$7,"",MIN(F56:L56))</f>
        <v>59</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59</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J4</v>
      </c>
      <c r="C57" s="11" t="str">
        <f ca="1">Start.listina!$AL65</f>
        <v>55 BePeC 2016 - Horák Libor</v>
      </c>
      <c r="D57" s="2">
        <f ca="1">IF(A57&gt;Start.listina!$K$7,"",INT((A57-1)/$M$2)+1)</f>
        <v>4</v>
      </c>
      <c r="E57" s="293">
        <f ca="1">IF(A57&gt;Start.listina!$K$7,"",MIN(F57:L57))</f>
        <v>59</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59</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I4</v>
      </c>
      <c r="C58" s="11" t="str">
        <f ca="1">Start.listina!$AL66</f>
        <v>56 PSK Jihlava - Dyba Daniel</v>
      </c>
      <c r="D58" s="2">
        <f ca="1">IF(A58&gt;Start.listina!$K$7,"",INT((A58-1)/$M$2)+1)</f>
        <v>4</v>
      </c>
      <c r="E58" s="293">
        <f ca="1">IF(A58&gt;Start.listina!$K$7,"",MIN(F58:L58))</f>
        <v>59</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59</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H4</v>
      </c>
      <c r="C59" s="11" t="str">
        <f ca="1">Start.listina!$AL67</f>
        <v>57 PSK Jihlava - Krupicová Natálie</v>
      </c>
      <c r="D59" s="2">
        <f ca="1">IF(A59&gt;Start.listina!$K$7,"",INT((A59-1)/$M$2)+1)</f>
        <v>4</v>
      </c>
      <c r="E59" s="293">
        <f ca="1">IF(A59&gt;Start.listina!$K$7,"",MIN(F59:L59))</f>
        <v>59</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59</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G4</v>
      </c>
      <c r="C60" s="11" t="str">
        <f ca="1">Start.listina!$AL68</f>
        <v>58 PSK Jihlava - Žáková Naděžda</v>
      </c>
      <c r="D60" s="2">
        <f ca="1">IF(A60&gt;Start.listina!$K$7,"",INT((A60-1)/$M$2)+1)</f>
        <v>4</v>
      </c>
      <c r="E60" s="293">
        <f ca="1">IF(A60&gt;Start.listina!$K$7,"",MIN(F60:L60))</f>
        <v>59</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59</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F4</v>
      </c>
      <c r="C61" s="11" t="str">
        <f ca="1">Start.listina!$AL69</f>
        <v>59 PSK Jihlava - Půža Jan</v>
      </c>
      <c r="D61" s="2">
        <f ca="1">IF(A61&gt;Start.listina!$K$7,"",INT((A61-1)/$M$2)+1)</f>
        <v>4</v>
      </c>
      <c r="E61" s="293">
        <f ca="1">IF(A61&gt;Start.listina!$K$7,"",MIN(F61:L61))</f>
        <v>59</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59</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293"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59</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293"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59</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293"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59</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293"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59</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293"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59</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293"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59</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293"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59</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293"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59</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293"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59</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293"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59</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293"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59</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293"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59</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293"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59</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293"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59</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293"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59</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293"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59</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293"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59</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293"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59</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293"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59</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293"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59</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293"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59</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293"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59</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293"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59</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293"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59</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293"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59</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293"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59</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293"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59</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293"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59</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293"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59</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293"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59</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293"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59</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293"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59</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293"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59</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293"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59</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293"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59</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293"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59</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293"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59</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293"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59</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293"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59</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293"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59</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293"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59</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293"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59</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293"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59</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293"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59</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293"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59</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293"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59</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293"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59</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293"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59</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293"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59</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293"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59</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293"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59</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293"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59</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293"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59</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293"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59</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293"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59</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293"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59</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293"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59</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293"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59</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293"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59</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293"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59</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293"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59</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293"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59</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293"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59</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293"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59</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293"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59</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293"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59</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293"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59</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293"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59</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293"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59</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List32"/>
  <dimension ref="A1:L259"/>
  <sheetViews>
    <sheetView workbookViewId="0">
      <pane ySplit="3" topLeftCell="A4" activePane="bottomLeft" state="frozen"/>
      <selection pane="bottomLeft"/>
    </sheetView>
  </sheetViews>
  <sheetFormatPr defaultRowHeight="12"/>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c r="A1" s="119" t="s">
        <v>325</v>
      </c>
      <c r="B1" s="120"/>
      <c r="C1" s="120"/>
      <c r="E1" s="120"/>
      <c r="K1" s="123" t="s">
        <v>324</v>
      </c>
      <c r="L1" s="303">
        <f ca="1">'Kvalita turnaje'!$F$1</f>
        <v>38.074437500000002</v>
      </c>
    </row>
    <row r="2" spans="1:12" ht="12.45" thickBot="1">
      <c r="A2" s="309">
        <v>1</v>
      </c>
      <c r="B2" s="309">
        <v>2</v>
      </c>
      <c r="C2" s="309">
        <v>3</v>
      </c>
      <c r="D2" s="309">
        <v>4</v>
      </c>
      <c r="E2" s="309">
        <v>5</v>
      </c>
      <c r="F2" s="309">
        <v>6</v>
      </c>
      <c r="G2" t="s">
        <v>327</v>
      </c>
      <c r="I2" s="124" t="s">
        <v>306</v>
      </c>
      <c r="K2" s="123" t="s">
        <v>322</v>
      </c>
      <c r="L2" s="124">
        <f ca="1">IF(TYPE(VLOOKUP(Start.listina!N2,Bonusy!A4:B8,2,0))&gt;3,0,VLOOKUP(Start.listina!N2,Bonusy!A4:B8,2,0))</f>
        <v>0</v>
      </c>
    </row>
    <row r="3" spans="1:12" ht="35.5" customHeight="1" thickBot="1">
      <c r="A3" s="305" t="s">
        <v>250</v>
      </c>
      <c r="B3" s="295" t="s">
        <v>312</v>
      </c>
      <c r="C3" s="302" t="s">
        <v>315</v>
      </c>
      <c r="D3" s="302" t="s">
        <v>316</v>
      </c>
      <c r="E3" s="302" t="s">
        <v>326</v>
      </c>
      <c r="F3" s="304" t="s">
        <v>304</v>
      </c>
      <c r="G3" s="300" t="s">
        <v>313</v>
      </c>
      <c r="H3" s="301">
        <f ca="1">'Počet kol'!$D$3</f>
        <v>6</v>
      </c>
      <c r="I3" s="307">
        <f ca="1">Start.listina!$K$7</f>
        <v>59</v>
      </c>
      <c r="K3" s="123" t="s">
        <v>323</v>
      </c>
      <c r="L3" s="124">
        <f ca="1">IF(TYPE(VLOOKUP(Start.listina!N2,Paušál!A4:B7,2,0))&gt;3,0,VLOOKUP(Start.listina!N2,Paušál!A4:B7,2,0))</f>
        <v>1</v>
      </c>
    </row>
    <row r="4" spans="1:12">
      <c r="A4" s="306">
        <v>1</v>
      </c>
      <c r="B4" s="121">
        <f ca="1">J4*($H$3-C4+D4)</f>
        <v>6</v>
      </c>
      <c r="C4" s="2">
        <v>0</v>
      </c>
      <c r="D4">
        <v>0</v>
      </c>
      <c r="E4">
        <f t="shared" ref="E4:E24" ca="1" si="0">J4*(B4*$L$1+F4)-(J4-1)*$L$3</f>
        <v>228.44662500000001</v>
      </c>
      <c r="F4">
        <f ca="1">IF(A4&lt;$I$3,$L$2,0)</f>
        <v>0</v>
      </c>
      <c r="J4">
        <f t="shared" ref="J4:J25" ca="1" si="1">IF($I$3&lt;=A4,0,1)</f>
        <v>1</v>
      </c>
    </row>
    <row r="5" spans="1:12">
      <c r="A5" s="306">
        <v>2</v>
      </c>
      <c r="B5" s="121">
        <f ca="1">J5*($H$3-C5+D5)</f>
        <v>5</v>
      </c>
      <c r="C5" s="2">
        <v>1</v>
      </c>
      <c r="D5">
        <v>0</v>
      </c>
      <c r="E5">
        <f t="shared" ca="1" si="0"/>
        <v>190.3721875</v>
      </c>
      <c r="F5">
        <f t="shared" ref="F5:F68" ca="1" si="2">IF(A5&lt;$I$3,$L$2,0)</f>
        <v>0</v>
      </c>
      <c r="J5">
        <f t="shared" ca="1" si="1"/>
        <v>1</v>
      </c>
    </row>
    <row r="6" spans="1:12">
      <c r="A6" s="306">
        <v>3</v>
      </c>
      <c r="B6" s="121">
        <f t="shared" ref="B6:B69" ca="1" si="3">J6*($H$3-C6+D6)</f>
        <v>4.5</v>
      </c>
      <c r="C6" s="2">
        <v>2</v>
      </c>
      <c r="D6" s="121">
        <f>1/2</f>
        <v>0.5</v>
      </c>
      <c r="E6">
        <f t="shared" ca="1" si="0"/>
        <v>171.33496875</v>
      </c>
      <c r="F6">
        <f t="shared" ca="1" si="2"/>
        <v>0</v>
      </c>
      <c r="J6">
        <f t="shared" ca="1" si="1"/>
        <v>1</v>
      </c>
    </row>
    <row r="7" spans="1:12">
      <c r="A7" s="306">
        <v>4</v>
      </c>
      <c r="B7" s="121">
        <f t="shared" ca="1" si="3"/>
        <v>4</v>
      </c>
      <c r="C7" s="2">
        <v>2</v>
      </c>
      <c r="D7">
        <v>0</v>
      </c>
      <c r="E7">
        <f t="shared" ca="1" si="0"/>
        <v>152.29775000000001</v>
      </c>
      <c r="F7">
        <f t="shared" ca="1" si="2"/>
        <v>0</v>
      </c>
      <c r="J7">
        <f t="shared" ca="1" si="1"/>
        <v>1</v>
      </c>
    </row>
    <row r="8" spans="1:12">
      <c r="A8" s="306">
        <v>5</v>
      </c>
      <c r="B8" s="121">
        <f t="shared" ca="1" si="3"/>
        <v>3.75</v>
      </c>
      <c r="C8" s="2">
        <v>3</v>
      </c>
      <c r="D8">
        <f>3/4</f>
        <v>0.75</v>
      </c>
      <c r="E8">
        <f t="shared" ca="1" si="0"/>
        <v>142.779140625</v>
      </c>
      <c r="F8">
        <f t="shared" ca="1" si="2"/>
        <v>0</v>
      </c>
      <c r="J8">
        <f t="shared" ca="1" si="1"/>
        <v>1</v>
      </c>
    </row>
    <row r="9" spans="1:12">
      <c r="A9" s="306">
        <v>6</v>
      </c>
      <c r="B9" s="121">
        <f t="shared" ca="1" si="3"/>
        <v>3.5</v>
      </c>
      <c r="C9" s="2">
        <v>3</v>
      </c>
      <c r="D9">
        <f>2/4</f>
        <v>0.5</v>
      </c>
      <c r="E9">
        <f t="shared" ca="1" si="0"/>
        <v>133.26053125000001</v>
      </c>
      <c r="F9">
        <f t="shared" ca="1" si="2"/>
        <v>0</v>
      </c>
      <c r="J9">
        <f t="shared" ca="1" si="1"/>
        <v>1</v>
      </c>
    </row>
    <row r="10" spans="1:12">
      <c r="A10" s="306">
        <v>7</v>
      </c>
      <c r="B10" s="121">
        <f t="shared" ca="1" si="3"/>
        <v>3.25</v>
      </c>
      <c r="C10" s="2">
        <v>3</v>
      </c>
      <c r="D10">
        <f>1/4</f>
        <v>0.25</v>
      </c>
      <c r="E10">
        <f t="shared" ca="1" si="0"/>
        <v>123.741921875</v>
      </c>
      <c r="F10">
        <f t="shared" ca="1" si="2"/>
        <v>0</v>
      </c>
      <c r="J10">
        <f t="shared" ca="1" si="1"/>
        <v>1</v>
      </c>
    </row>
    <row r="11" spans="1:12">
      <c r="A11" s="306">
        <v>8</v>
      </c>
      <c r="B11" s="121">
        <f t="shared" ca="1" si="3"/>
        <v>3</v>
      </c>
      <c r="C11" s="2">
        <v>3</v>
      </c>
      <c r="D11">
        <v>0</v>
      </c>
      <c r="E11">
        <f t="shared" ca="1" si="0"/>
        <v>114.22331250000001</v>
      </c>
      <c r="F11">
        <f t="shared" ca="1" si="2"/>
        <v>0</v>
      </c>
      <c r="J11">
        <f t="shared" ca="1" si="1"/>
        <v>1</v>
      </c>
    </row>
    <row r="12" spans="1:12">
      <c r="A12" s="306">
        <v>9</v>
      </c>
      <c r="B12" s="121">
        <f t="shared" ca="1" si="3"/>
        <v>2.875</v>
      </c>
      <c r="C12" s="2">
        <v>4</v>
      </c>
      <c r="D12">
        <f>7/8</f>
        <v>0.875</v>
      </c>
      <c r="E12">
        <f t="shared" ca="1" si="0"/>
        <v>109.4640078125</v>
      </c>
      <c r="F12">
        <f t="shared" ca="1" si="2"/>
        <v>0</v>
      </c>
      <c r="J12">
        <f t="shared" ca="1" si="1"/>
        <v>1</v>
      </c>
    </row>
    <row r="13" spans="1:12">
      <c r="A13" s="306">
        <v>10</v>
      </c>
      <c r="B13" s="121">
        <f t="shared" ca="1" si="3"/>
        <v>2.75</v>
      </c>
      <c r="C13" s="2">
        <v>4</v>
      </c>
      <c r="D13">
        <f>6/8</f>
        <v>0.75</v>
      </c>
      <c r="E13">
        <f t="shared" ca="1" si="0"/>
        <v>104.70470312500001</v>
      </c>
      <c r="F13">
        <f t="shared" ca="1" si="2"/>
        <v>0</v>
      </c>
      <c r="J13">
        <f t="shared" ca="1" si="1"/>
        <v>1</v>
      </c>
    </row>
    <row r="14" spans="1:12">
      <c r="A14" s="306">
        <v>11</v>
      </c>
      <c r="B14" s="121">
        <f t="shared" ca="1" si="3"/>
        <v>2.625</v>
      </c>
      <c r="C14" s="2">
        <v>4</v>
      </c>
      <c r="D14">
        <f>5/8</f>
        <v>0.625</v>
      </c>
      <c r="E14">
        <f t="shared" ca="1" si="0"/>
        <v>99.945398437500003</v>
      </c>
      <c r="F14">
        <f t="shared" ca="1" si="2"/>
        <v>0</v>
      </c>
      <c r="J14">
        <f t="shared" ca="1" si="1"/>
        <v>1</v>
      </c>
    </row>
    <row r="15" spans="1:12">
      <c r="A15" s="306">
        <v>12</v>
      </c>
      <c r="B15" s="121">
        <f t="shared" ca="1" si="3"/>
        <v>2.5</v>
      </c>
      <c r="C15" s="2">
        <v>4</v>
      </c>
      <c r="D15">
        <f>4/8</f>
        <v>0.5</v>
      </c>
      <c r="E15">
        <f t="shared" ca="1" si="0"/>
        <v>95.186093749999998</v>
      </c>
      <c r="F15">
        <f t="shared" ca="1" si="2"/>
        <v>0</v>
      </c>
      <c r="J15">
        <f t="shared" ca="1" si="1"/>
        <v>1</v>
      </c>
    </row>
    <row r="16" spans="1:12">
      <c r="A16" s="306">
        <v>13</v>
      </c>
      <c r="B16" s="121">
        <f t="shared" ca="1" si="3"/>
        <v>2.375</v>
      </c>
      <c r="C16" s="2">
        <v>4</v>
      </c>
      <c r="D16">
        <f>3/8</f>
        <v>0.375</v>
      </c>
      <c r="E16">
        <f t="shared" ca="1" si="0"/>
        <v>90.426789062500006</v>
      </c>
      <c r="F16">
        <f t="shared" ca="1" si="2"/>
        <v>0</v>
      </c>
      <c r="J16">
        <f t="shared" ca="1" si="1"/>
        <v>1</v>
      </c>
    </row>
    <row r="17" spans="1:10">
      <c r="A17" s="306">
        <v>14</v>
      </c>
      <c r="B17" s="121">
        <f t="shared" ca="1" si="3"/>
        <v>2.25</v>
      </c>
      <c r="C17" s="2">
        <v>4</v>
      </c>
      <c r="D17">
        <f>2/8</f>
        <v>0.25</v>
      </c>
      <c r="E17">
        <f t="shared" ca="1" si="0"/>
        <v>85.667484375000001</v>
      </c>
      <c r="F17">
        <f t="shared" ca="1" si="2"/>
        <v>0</v>
      </c>
      <c r="J17">
        <f t="shared" ca="1" si="1"/>
        <v>1</v>
      </c>
    </row>
    <row r="18" spans="1:10">
      <c r="A18" s="306">
        <v>15</v>
      </c>
      <c r="B18" s="121">
        <f t="shared" ca="1" si="3"/>
        <v>2.125</v>
      </c>
      <c r="C18" s="2">
        <v>4</v>
      </c>
      <c r="D18">
        <f>1/8</f>
        <v>0.125</v>
      </c>
      <c r="E18">
        <f t="shared" ca="1" si="0"/>
        <v>80.908179687500009</v>
      </c>
      <c r="F18">
        <f t="shared" ca="1" si="2"/>
        <v>0</v>
      </c>
      <c r="J18">
        <f t="shared" ca="1" si="1"/>
        <v>1</v>
      </c>
    </row>
    <row r="19" spans="1:10">
      <c r="A19" s="306">
        <v>16</v>
      </c>
      <c r="B19" s="121">
        <f t="shared" ca="1" si="3"/>
        <v>2</v>
      </c>
      <c r="C19" s="2">
        <v>4</v>
      </c>
      <c r="D19">
        <v>0</v>
      </c>
      <c r="E19">
        <f t="shared" ca="1" si="0"/>
        <v>76.148875000000004</v>
      </c>
      <c r="F19">
        <f t="shared" ca="1" si="2"/>
        <v>0</v>
      </c>
      <c r="J19">
        <f t="shared" ca="1" si="1"/>
        <v>1</v>
      </c>
    </row>
    <row r="20" spans="1:10">
      <c r="A20" s="306">
        <v>17</v>
      </c>
      <c r="B20" s="121">
        <f t="shared" ca="1" si="3"/>
        <v>1.9375</v>
      </c>
      <c r="C20" s="2">
        <v>5</v>
      </c>
      <c r="D20">
        <f>15/16</f>
        <v>0.9375</v>
      </c>
      <c r="E20">
        <f t="shared" ca="1" si="0"/>
        <v>73.769222656250008</v>
      </c>
      <c r="F20">
        <f t="shared" ca="1" si="2"/>
        <v>0</v>
      </c>
      <c r="J20">
        <f t="shared" ca="1" si="1"/>
        <v>1</v>
      </c>
    </row>
    <row r="21" spans="1:10">
      <c r="A21" s="306">
        <v>18</v>
      </c>
      <c r="B21" s="121">
        <f t="shared" ca="1" si="3"/>
        <v>1.875</v>
      </c>
      <c r="C21" s="2">
        <v>5</v>
      </c>
      <c r="D21">
        <f>14/16</f>
        <v>0.875</v>
      </c>
      <c r="E21">
        <f t="shared" ca="1" si="0"/>
        <v>71.389570312499998</v>
      </c>
      <c r="F21">
        <f t="shared" ca="1" si="2"/>
        <v>0</v>
      </c>
      <c r="J21">
        <f t="shared" ca="1" si="1"/>
        <v>1</v>
      </c>
    </row>
    <row r="22" spans="1:10">
      <c r="A22" s="306">
        <v>19</v>
      </c>
      <c r="B22" s="121">
        <f t="shared" ca="1" si="3"/>
        <v>1.8125</v>
      </c>
      <c r="C22" s="2">
        <v>5</v>
      </c>
      <c r="D22">
        <f>13/16</f>
        <v>0.8125</v>
      </c>
      <c r="E22">
        <f t="shared" ca="1" si="0"/>
        <v>69.009917968750003</v>
      </c>
      <c r="F22">
        <f t="shared" ca="1" si="2"/>
        <v>0</v>
      </c>
      <c r="J22">
        <f t="shared" ca="1" si="1"/>
        <v>1</v>
      </c>
    </row>
    <row r="23" spans="1:10">
      <c r="A23" s="306">
        <v>20</v>
      </c>
      <c r="B23" s="121">
        <f t="shared" ca="1" si="3"/>
        <v>1.75</v>
      </c>
      <c r="C23" s="2">
        <v>5</v>
      </c>
      <c r="D23">
        <f>12/16</f>
        <v>0.75</v>
      </c>
      <c r="E23">
        <f t="shared" ca="1" si="0"/>
        <v>66.630265625000007</v>
      </c>
      <c r="F23">
        <f t="shared" ca="1" si="2"/>
        <v>0</v>
      </c>
      <c r="J23">
        <f t="shared" ca="1" si="1"/>
        <v>1</v>
      </c>
    </row>
    <row r="24" spans="1:10">
      <c r="A24" s="306">
        <v>21</v>
      </c>
      <c r="B24" s="121">
        <f t="shared" ca="1" si="3"/>
        <v>1.6875</v>
      </c>
      <c r="C24" s="2">
        <v>5</v>
      </c>
      <c r="D24">
        <f>11/16</f>
        <v>0.6875</v>
      </c>
      <c r="E24">
        <f t="shared" ca="1" si="0"/>
        <v>64.250613281249997</v>
      </c>
      <c r="F24">
        <f t="shared" ca="1" si="2"/>
        <v>0</v>
      </c>
      <c r="J24">
        <f t="shared" ca="1" si="1"/>
        <v>1</v>
      </c>
    </row>
    <row r="25" spans="1:10">
      <c r="A25" s="306">
        <v>22</v>
      </c>
      <c r="B25" s="121">
        <f t="shared" ca="1" si="3"/>
        <v>1.625</v>
      </c>
      <c r="C25" s="2">
        <v>5</v>
      </c>
      <c r="D25">
        <f>10/16</f>
        <v>0.625</v>
      </c>
      <c r="E25">
        <f ca="1">J25*(B25*$L$1+F25)-(J25-1)*$L$3</f>
        <v>61.870960937500001</v>
      </c>
      <c r="F25">
        <f t="shared" ca="1" si="2"/>
        <v>0</v>
      </c>
      <c r="J25">
        <f t="shared" ca="1" si="1"/>
        <v>1</v>
      </c>
    </row>
    <row r="26" spans="1:10">
      <c r="A26" s="306">
        <v>23</v>
      </c>
      <c r="B26" s="121">
        <f t="shared" ca="1" si="3"/>
        <v>1.5625</v>
      </c>
      <c r="C26" s="2">
        <v>5</v>
      </c>
      <c r="D26">
        <f>9/16</f>
        <v>0.5625</v>
      </c>
      <c r="E26">
        <f t="shared" ref="E26:E89" ca="1" si="4">J26*(B26*$L$1+F26)-(J26-1)*$L$3</f>
        <v>59.491308593750006</v>
      </c>
      <c r="F26">
        <f t="shared" ca="1" si="2"/>
        <v>0</v>
      </c>
      <c r="J26">
        <f ca="1">IF($I$3&lt;=A26,0,1)</f>
        <v>1</v>
      </c>
    </row>
    <row r="27" spans="1:10">
      <c r="A27" s="306">
        <v>24</v>
      </c>
      <c r="B27" s="121">
        <f t="shared" ca="1" si="3"/>
        <v>1.5</v>
      </c>
      <c r="C27" s="2">
        <v>5</v>
      </c>
      <c r="D27">
        <f>8/16</f>
        <v>0.5</v>
      </c>
      <c r="E27">
        <f t="shared" ca="1" si="4"/>
        <v>57.111656250000003</v>
      </c>
      <c r="F27">
        <f t="shared" ca="1" si="2"/>
        <v>0</v>
      </c>
      <c r="J27">
        <f t="shared" ref="J27:J90" ca="1" si="5">IF($I$3&lt;=A27,0,1)</f>
        <v>1</v>
      </c>
    </row>
    <row r="28" spans="1:10">
      <c r="A28" s="306">
        <v>25</v>
      </c>
      <c r="B28" s="121">
        <f t="shared" ca="1" si="3"/>
        <v>1.4375</v>
      </c>
      <c r="C28" s="2">
        <v>5</v>
      </c>
      <c r="D28">
        <f>7/16</f>
        <v>0.4375</v>
      </c>
      <c r="E28">
        <f t="shared" ca="1" si="4"/>
        <v>54.73200390625</v>
      </c>
      <c r="F28">
        <f t="shared" ca="1" si="2"/>
        <v>0</v>
      </c>
      <c r="J28">
        <f t="shared" ca="1" si="5"/>
        <v>1</v>
      </c>
    </row>
    <row r="29" spans="1:10">
      <c r="A29" s="306">
        <v>26</v>
      </c>
      <c r="B29" s="121">
        <f t="shared" ca="1" si="3"/>
        <v>1.375</v>
      </c>
      <c r="C29" s="2">
        <v>5</v>
      </c>
      <c r="D29">
        <f>6/16</f>
        <v>0.375</v>
      </c>
      <c r="E29">
        <f t="shared" ca="1" si="4"/>
        <v>52.352351562500004</v>
      </c>
      <c r="F29">
        <f t="shared" ca="1" si="2"/>
        <v>0</v>
      </c>
      <c r="J29">
        <f t="shared" ca="1" si="5"/>
        <v>1</v>
      </c>
    </row>
    <row r="30" spans="1:10">
      <c r="A30" s="306">
        <v>27</v>
      </c>
      <c r="B30" s="121">
        <f t="shared" ca="1" si="3"/>
        <v>1.3125</v>
      </c>
      <c r="C30" s="2">
        <v>5</v>
      </c>
      <c r="D30">
        <f>5/16</f>
        <v>0.3125</v>
      </c>
      <c r="E30">
        <f t="shared" ca="1" si="4"/>
        <v>49.972699218750002</v>
      </c>
      <c r="F30">
        <f t="shared" ca="1" si="2"/>
        <v>0</v>
      </c>
      <c r="J30">
        <f t="shared" ca="1" si="5"/>
        <v>1</v>
      </c>
    </row>
    <row r="31" spans="1:10">
      <c r="A31" s="306">
        <v>28</v>
      </c>
      <c r="B31" s="121">
        <f t="shared" ca="1" si="3"/>
        <v>1.25</v>
      </c>
      <c r="C31" s="2">
        <v>5</v>
      </c>
      <c r="D31">
        <f>4/16</f>
        <v>0.25</v>
      </c>
      <c r="E31">
        <f t="shared" ca="1" si="4"/>
        <v>47.593046874999999</v>
      </c>
      <c r="F31">
        <f t="shared" ca="1" si="2"/>
        <v>0</v>
      </c>
      <c r="J31">
        <f t="shared" ca="1" si="5"/>
        <v>1</v>
      </c>
    </row>
    <row r="32" spans="1:10">
      <c r="A32" s="306">
        <v>29</v>
      </c>
      <c r="B32" s="121">
        <f t="shared" ca="1" si="3"/>
        <v>1.1875</v>
      </c>
      <c r="C32" s="2">
        <v>5</v>
      </c>
      <c r="D32">
        <f>3/16</f>
        <v>0.1875</v>
      </c>
      <c r="E32">
        <f t="shared" ca="1" si="4"/>
        <v>45.213394531250003</v>
      </c>
      <c r="F32">
        <f t="shared" ca="1" si="2"/>
        <v>0</v>
      </c>
      <c r="J32">
        <f t="shared" ca="1" si="5"/>
        <v>1</v>
      </c>
    </row>
    <row r="33" spans="1:10">
      <c r="A33" s="306">
        <v>30</v>
      </c>
      <c r="B33" s="121">
        <f t="shared" ca="1" si="3"/>
        <v>1.125</v>
      </c>
      <c r="C33" s="2">
        <v>5</v>
      </c>
      <c r="D33">
        <f>2/16</f>
        <v>0.125</v>
      </c>
      <c r="E33">
        <f t="shared" ca="1" si="4"/>
        <v>42.8337421875</v>
      </c>
      <c r="F33">
        <f t="shared" ca="1" si="2"/>
        <v>0</v>
      </c>
      <c r="J33">
        <f t="shared" ca="1" si="5"/>
        <v>1</v>
      </c>
    </row>
    <row r="34" spans="1:10">
      <c r="A34" s="306">
        <v>31</v>
      </c>
      <c r="B34" s="121">
        <f t="shared" ca="1" si="3"/>
        <v>1.0625</v>
      </c>
      <c r="C34" s="2">
        <v>5</v>
      </c>
      <c r="D34">
        <f>1/16</f>
        <v>6.25E-2</v>
      </c>
      <c r="E34">
        <f t="shared" ca="1" si="4"/>
        <v>40.454089843750005</v>
      </c>
      <c r="F34">
        <f t="shared" ca="1" si="2"/>
        <v>0</v>
      </c>
      <c r="J34">
        <f t="shared" ca="1" si="5"/>
        <v>1</v>
      </c>
    </row>
    <row r="35" spans="1:10">
      <c r="A35" s="306">
        <v>32</v>
      </c>
      <c r="B35" s="121">
        <f t="shared" ca="1" si="3"/>
        <v>1</v>
      </c>
      <c r="C35" s="2">
        <v>5</v>
      </c>
      <c r="D35">
        <v>0</v>
      </c>
      <c r="E35">
        <f t="shared" ca="1" si="4"/>
        <v>38.074437500000002</v>
      </c>
      <c r="F35">
        <f t="shared" ca="1" si="2"/>
        <v>0</v>
      </c>
      <c r="J35">
        <f t="shared" ca="1" si="5"/>
        <v>1</v>
      </c>
    </row>
    <row r="36" spans="1:10">
      <c r="A36" s="306">
        <v>33</v>
      </c>
      <c r="B36" s="121">
        <f t="shared" ca="1" si="3"/>
        <v>0.96875</v>
      </c>
      <c r="C36" s="2">
        <v>6</v>
      </c>
      <c r="D36">
        <f>31/32</f>
        <v>0.96875</v>
      </c>
      <c r="E36">
        <f t="shared" ca="1" si="4"/>
        <v>36.884611328125004</v>
      </c>
      <c r="F36">
        <f t="shared" ca="1" si="2"/>
        <v>0</v>
      </c>
      <c r="J36">
        <f t="shared" ca="1" si="5"/>
        <v>1</v>
      </c>
    </row>
    <row r="37" spans="1:10">
      <c r="A37" s="306">
        <v>34</v>
      </c>
      <c r="B37" s="121">
        <f t="shared" ca="1" si="3"/>
        <v>0.9375</v>
      </c>
      <c r="C37" s="2">
        <v>6</v>
      </c>
      <c r="D37">
        <f>30/32</f>
        <v>0.9375</v>
      </c>
      <c r="E37">
        <f t="shared" ca="1" si="4"/>
        <v>35.694785156249999</v>
      </c>
      <c r="F37">
        <f t="shared" ca="1" si="2"/>
        <v>0</v>
      </c>
      <c r="J37">
        <f t="shared" ca="1" si="5"/>
        <v>1</v>
      </c>
    </row>
    <row r="38" spans="1:10">
      <c r="A38" s="306">
        <v>35</v>
      </c>
      <c r="B38" s="121">
        <f t="shared" ca="1" si="3"/>
        <v>0.90625</v>
      </c>
      <c r="C38" s="2">
        <v>6</v>
      </c>
      <c r="D38">
        <f>29/32</f>
        <v>0.90625</v>
      </c>
      <c r="E38">
        <f t="shared" ca="1" si="4"/>
        <v>34.504958984375001</v>
      </c>
      <c r="F38">
        <f t="shared" ca="1" si="2"/>
        <v>0</v>
      </c>
      <c r="J38">
        <f t="shared" ca="1" si="5"/>
        <v>1</v>
      </c>
    </row>
    <row r="39" spans="1:10">
      <c r="A39" s="306">
        <v>36</v>
      </c>
      <c r="B39" s="121">
        <f t="shared" ca="1" si="3"/>
        <v>0.875</v>
      </c>
      <c r="C39" s="2">
        <v>6</v>
      </c>
      <c r="D39">
        <f>28/32</f>
        <v>0.875</v>
      </c>
      <c r="E39">
        <f t="shared" ca="1" si="4"/>
        <v>33.315132812500003</v>
      </c>
      <c r="F39">
        <f t="shared" ca="1" si="2"/>
        <v>0</v>
      </c>
      <c r="J39">
        <f t="shared" ca="1" si="5"/>
        <v>1</v>
      </c>
    </row>
    <row r="40" spans="1:10">
      <c r="A40" s="306">
        <v>37</v>
      </c>
      <c r="B40" s="121">
        <f t="shared" ca="1" si="3"/>
        <v>0.84375</v>
      </c>
      <c r="C40" s="2">
        <v>6</v>
      </c>
      <c r="D40">
        <f>27/32</f>
        <v>0.84375</v>
      </c>
      <c r="E40">
        <f t="shared" ca="1" si="4"/>
        <v>32.125306640624999</v>
      </c>
      <c r="F40">
        <f t="shared" ca="1" si="2"/>
        <v>0</v>
      </c>
      <c r="J40">
        <f t="shared" ca="1" si="5"/>
        <v>1</v>
      </c>
    </row>
    <row r="41" spans="1:10">
      <c r="A41" s="306">
        <v>38</v>
      </c>
      <c r="B41" s="121">
        <f t="shared" ca="1" si="3"/>
        <v>0.8125</v>
      </c>
      <c r="C41" s="2">
        <v>6</v>
      </c>
      <c r="D41">
        <f>26/32</f>
        <v>0.8125</v>
      </c>
      <c r="E41">
        <f t="shared" ca="1" si="4"/>
        <v>30.935480468750001</v>
      </c>
      <c r="F41">
        <f t="shared" ca="1" si="2"/>
        <v>0</v>
      </c>
      <c r="J41">
        <f t="shared" ca="1" si="5"/>
        <v>1</v>
      </c>
    </row>
    <row r="42" spans="1:10">
      <c r="A42" s="306">
        <v>39</v>
      </c>
      <c r="B42" s="121">
        <f t="shared" ca="1" si="3"/>
        <v>0.78125</v>
      </c>
      <c r="C42" s="2">
        <v>6</v>
      </c>
      <c r="D42">
        <f>25/32</f>
        <v>0.78125</v>
      </c>
      <c r="E42">
        <f t="shared" ca="1" si="4"/>
        <v>29.745654296875003</v>
      </c>
      <c r="F42">
        <f t="shared" ca="1" si="2"/>
        <v>0</v>
      </c>
      <c r="J42">
        <f t="shared" ca="1" si="5"/>
        <v>1</v>
      </c>
    </row>
    <row r="43" spans="1:10">
      <c r="A43" s="306">
        <v>40</v>
      </c>
      <c r="B43" s="121">
        <f t="shared" ca="1" si="3"/>
        <v>0.75</v>
      </c>
      <c r="C43" s="2">
        <v>6</v>
      </c>
      <c r="D43">
        <f>24/32</f>
        <v>0.75</v>
      </c>
      <c r="E43">
        <f t="shared" ca="1" si="4"/>
        <v>28.555828125000001</v>
      </c>
      <c r="F43">
        <f t="shared" ca="1" si="2"/>
        <v>0</v>
      </c>
      <c r="J43">
        <f t="shared" ca="1" si="5"/>
        <v>1</v>
      </c>
    </row>
    <row r="44" spans="1:10">
      <c r="A44" s="306">
        <v>41</v>
      </c>
      <c r="B44" s="121">
        <f t="shared" ca="1" si="3"/>
        <v>0.71875</v>
      </c>
      <c r="C44" s="2">
        <v>6</v>
      </c>
      <c r="D44">
        <f>23/32</f>
        <v>0.71875</v>
      </c>
      <c r="E44">
        <f t="shared" ca="1" si="4"/>
        <v>27.366001953125</v>
      </c>
      <c r="F44">
        <f t="shared" ca="1" si="2"/>
        <v>0</v>
      </c>
      <c r="J44">
        <f t="shared" ca="1" si="5"/>
        <v>1</v>
      </c>
    </row>
    <row r="45" spans="1:10">
      <c r="A45" s="306">
        <v>42</v>
      </c>
      <c r="B45" s="121">
        <f t="shared" ca="1" si="3"/>
        <v>0.6875</v>
      </c>
      <c r="C45" s="2">
        <v>6</v>
      </c>
      <c r="D45">
        <f>22/32</f>
        <v>0.6875</v>
      </c>
      <c r="E45">
        <f t="shared" ca="1" si="4"/>
        <v>26.176175781250002</v>
      </c>
      <c r="F45">
        <f t="shared" ca="1" si="2"/>
        <v>0</v>
      </c>
      <c r="J45">
        <f t="shared" ca="1" si="5"/>
        <v>1</v>
      </c>
    </row>
    <row r="46" spans="1:10">
      <c r="A46" s="306">
        <v>43</v>
      </c>
      <c r="B46" s="121">
        <f t="shared" ca="1" si="3"/>
        <v>0.65625</v>
      </c>
      <c r="C46" s="2">
        <v>6</v>
      </c>
      <c r="D46">
        <f>21/32</f>
        <v>0.65625</v>
      </c>
      <c r="E46">
        <f t="shared" ca="1" si="4"/>
        <v>24.986349609375001</v>
      </c>
      <c r="F46">
        <f t="shared" ca="1" si="2"/>
        <v>0</v>
      </c>
      <c r="J46">
        <f t="shared" ca="1" si="5"/>
        <v>1</v>
      </c>
    </row>
    <row r="47" spans="1:10">
      <c r="A47" s="306">
        <v>44</v>
      </c>
      <c r="B47" s="121">
        <f t="shared" ca="1" si="3"/>
        <v>0.625</v>
      </c>
      <c r="C47" s="2">
        <v>6</v>
      </c>
      <c r="D47">
        <f>20/32</f>
        <v>0.625</v>
      </c>
      <c r="E47">
        <f t="shared" ca="1" si="4"/>
        <v>23.796523437499999</v>
      </c>
      <c r="F47">
        <f t="shared" ca="1" si="2"/>
        <v>0</v>
      </c>
      <c r="J47">
        <f t="shared" ca="1" si="5"/>
        <v>1</v>
      </c>
    </row>
    <row r="48" spans="1:10">
      <c r="A48" s="306">
        <v>45</v>
      </c>
      <c r="B48" s="121">
        <f t="shared" ca="1" si="3"/>
        <v>0.59375</v>
      </c>
      <c r="C48" s="2">
        <v>6</v>
      </c>
      <c r="D48">
        <f>19/32</f>
        <v>0.59375</v>
      </c>
      <c r="E48">
        <f t="shared" ca="1" si="4"/>
        <v>22.606697265625002</v>
      </c>
      <c r="F48">
        <f t="shared" ca="1" si="2"/>
        <v>0</v>
      </c>
      <c r="J48">
        <f t="shared" ca="1" si="5"/>
        <v>1</v>
      </c>
    </row>
    <row r="49" spans="1:10">
      <c r="A49" s="306">
        <v>46</v>
      </c>
      <c r="B49" s="121">
        <f t="shared" ca="1" si="3"/>
        <v>0.5625</v>
      </c>
      <c r="C49" s="2">
        <v>6</v>
      </c>
      <c r="D49">
        <f>18/32</f>
        <v>0.5625</v>
      </c>
      <c r="E49">
        <f t="shared" ca="1" si="4"/>
        <v>21.41687109375</v>
      </c>
      <c r="F49">
        <f t="shared" ca="1" si="2"/>
        <v>0</v>
      </c>
      <c r="J49">
        <f t="shared" ca="1" si="5"/>
        <v>1</v>
      </c>
    </row>
    <row r="50" spans="1:10">
      <c r="A50" s="306">
        <v>47</v>
      </c>
      <c r="B50" s="121">
        <f t="shared" ca="1" si="3"/>
        <v>0.53125</v>
      </c>
      <c r="C50" s="2">
        <v>6</v>
      </c>
      <c r="D50">
        <f>17/32</f>
        <v>0.53125</v>
      </c>
      <c r="E50">
        <f t="shared" ca="1" si="4"/>
        <v>20.227044921875002</v>
      </c>
      <c r="F50">
        <f t="shared" ca="1" si="2"/>
        <v>0</v>
      </c>
      <c r="J50">
        <f t="shared" ca="1" si="5"/>
        <v>1</v>
      </c>
    </row>
    <row r="51" spans="1:10">
      <c r="A51" s="306">
        <v>48</v>
      </c>
      <c r="B51" s="121">
        <f t="shared" ca="1" si="3"/>
        <v>0.5</v>
      </c>
      <c r="C51" s="2">
        <v>6</v>
      </c>
      <c r="D51">
        <f>16/32</f>
        <v>0.5</v>
      </c>
      <c r="E51">
        <f t="shared" ca="1" si="4"/>
        <v>19.037218750000001</v>
      </c>
      <c r="F51">
        <f t="shared" ca="1" si="2"/>
        <v>0</v>
      </c>
      <c r="J51">
        <f t="shared" ca="1" si="5"/>
        <v>1</v>
      </c>
    </row>
    <row r="52" spans="1:10">
      <c r="A52" s="306">
        <v>49</v>
      </c>
      <c r="B52" s="121">
        <f t="shared" ca="1" si="3"/>
        <v>0.46875</v>
      </c>
      <c r="C52" s="2">
        <v>6</v>
      </c>
      <c r="D52">
        <f>15/32</f>
        <v>0.46875</v>
      </c>
      <c r="E52">
        <f t="shared" ca="1" si="4"/>
        <v>17.847392578125</v>
      </c>
      <c r="F52">
        <f t="shared" ca="1" si="2"/>
        <v>0</v>
      </c>
      <c r="J52">
        <f t="shared" ca="1" si="5"/>
        <v>1</v>
      </c>
    </row>
    <row r="53" spans="1:10">
      <c r="A53" s="306">
        <v>50</v>
      </c>
      <c r="B53" s="121">
        <f t="shared" ca="1" si="3"/>
        <v>0.4375</v>
      </c>
      <c r="C53" s="2">
        <v>6</v>
      </c>
      <c r="D53">
        <f>14/32</f>
        <v>0.4375</v>
      </c>
      <c r="E53">
        <f t="shared" ca="1" si="4"/>
        <v>16.657566406250002</v>
      </c>
      <c r="F53">
        <f t="shared" ca="1" si="2"/>
        <v>0</v>
      </c>
      <c r="J53">
        <f t="shared" ca="1" si="5"/>
        <v>1</v>
      </c>
    </row>
    <row r="54" spans="1:10">
      <c r="A54" s="306">
        <v>51</v>
      </c>
      <c r="B54" s="121">
        <f t="shared" ca="1" si="3"/>
        <v>0.40625</v>
      </c>
      <c r="C54" s="2">
        <v>6</v>
      </c>
      <c r="D54">
        <f>13/32</f>
        <v>0.40625</v>
      </c>
      <c r="E54">
        <f t="shared" ca="1" si="4"/>
        <v>15.467740234375</v>
      </c>
      <c r="F54">
        <f t="shared" ca="1" si="2"/>
        <v>0</v>
      </c>
      <c r="J54">
        <f t="shared" ca="1" si="5"/>
        <v>1</v>
      </c>
    </row>
    <row r="55" spans="1:10">
      <c r="A55" s="306">
        <v>52</v>
      </c>
      <c r="B55" s="121">
        <f t="shared" ca="1" si="3"/>
        <v>0.375</v>
      </c>
      <c r="C55" s="2">
        <v>6</v>
      </c>
      <c r="D55">
        <f>12/32</f>
        <v>0.375</v>
      </c>
      <c r="E55">
        <f t="shared" ca="1" si="4"/>
        <v>14.277914062500001</v>
      </c>
      <c r="F55">
        <f t="shared" ca="1" si="2"/>
        <v>0</v>
      </c>
      <c r="J55">
        <f t="shared" ca="1" si="5"/>
        <v>1</v>
      </c>
    </row>
    <row r="56" spans="1:10">
      <c r="A56" s="306">
        <v>53</v>
      </c>
      <c r="B56" s="121">
        <f t="shared" ca="1" si="3"/>
        <v>0.34375</v>
      </c>
      <c r="C56" s="2">
        <v>6</v>
      </c>
      <c r="D56">
        <f>11/32</f>
        <v>0.34375</v>
      </c>
      <c r="E56">
        <f t="shared" ca="1" si="4"/>
        <v>13.088087890625001</v>
      </c>
      <c r="F56">
        <f t="shared" ca="1" si="2"/>
        <v>0</v>
      </c>
      <c r="J56">
        <f t="shared" ca="1" si="5"/>
        <v>1</v>
      </c>
    </row>
    <row r="57" spans="1:10">
      <c r="A57" s="306">
        <v>54</v>
      </c>
      <c r="B57" s="121">
        <f t="shared" ca="1" si="3"/>
        <v>0.3125</v>
      </c>
      <c r="C57" s="2">
        <v>6</v>
      </c>
      <c r="D57">
        <f>10/32</f>
        <v>0.3125</v>
      </c>
      <c r="E57">
        <f t="shared" ca="1" si="4"/>
        <v>11.89826171875</v>
      </c>
      <c r="F57">
        <f t="shared" ca="1" si="2"/>
        <v>0</v>
      </c>
      <c r="J57">
        <f t="shared" ca="1" si="5"/>
        <v>1</v>
      </c>
    </row>
    <row r="58" spans="1:10">
      <c r="A58" s="306">
        <v>55</v>
      </c>
      <c r="B58" s="121">
        <f t="shared" ca="1" si="3"/>
        <v>0.28125</v>
      </c>
      <c r="C58" s="2">
        <v>6</v>
      </c>
      <c r="D58">
        <f>9/32</f>
        <v>0.28125</v>
      </c>
      <c r="E58">
        <f t="shared" ca="1" si="4"/>
        <v>10.708435546875</v>
      </c>
      <c r="F58">
        <f t="shared" ca="1" si="2"/>
        <v>0</v>
      </c>
      <c r="J58">
        <f t="shared" ca="1" si="5"/>
        <v>1</v>
      </c>
    </row>
    <row r="59" spans="1:10">
      <c r="A59" s="306">
        <v>56</v>
      </c>
      <c r="B59" s="121">
        <f t="shared" ca="1" si="3"/>
        <v>0.25</v>
      </c>
      <c r="C59" s="2">
        <v>6</v>
      </c>
      <c r="D59">
        <f>8/32</f>
        <v>0.25</v>
      </c>
      <c r="E59">
        <f t="shared" ca="1" si="4"/>
        <v>9.5186093750000005</v>
      </c>
      <c r="F59">
        <f t="shared" ca="1" si="2"/>
        <v>0</v>
      </c>
      <c r="J59">
        <f t="shared" ca="1" si="5"/>
        <v>1</v>
      </c>
    </row>
    <row r="60" spans="1:10">
      <c r="A60" s="306">
        <v>57</v>
      </c>
      <c r="B60" s="121">
        <f t="shared" ca="1" si="3"/>
        <v>0.21875</v>
      </c>
      <c r="C60" s="2">
        <v>6</v>
      </c>
      <c r="D60">
        <f>7/32</f>
        <v>0.21875</v>
      </c>
      <c r="E60">
        <f t="shared" ca="1" si="4"/>
        <v>8.3287832031250009</v>
      </c>
      <c r="F60">
        <f t="shared" ca="1" si="2"/>
        <v>0</v>
      </c>
      <c r="J60">
        <f t="shared" ca="1" si="5"/>
        <v>1</v>
      </c>
    </row>
    <row r="61" spans="1:10">
      <c r="A61" s="306">
        <v>58</v>
      </c>
      <c r="B61" s="121">
        <f t="shared" ca="1" si="3"/>
        <v>0.1875</v>
      </c>
      <c r="C61" s="2">
        <v>6</v>
      </c>
      <c r="D61">
        <f>6/32</f>
        <v>0.1875</v>
      </c>
      <c r="E61">
        <f t="shared" ca="1" si="4"/>
        <v>7.1389570312500004</v>
      </c>
      <c r="F61">
        <f t="shared" ca="1" si="2"/>
        <v>0</v>
      </c>
      <c r="J61">
        <f t="shared" ca="1" si="5"/>
        <v>1</v>
      </c>
    </row>
    <row r="62" spans="1:10">
      <c r="A62" s="306">
        <v>59</v>
      </c>
      <c r="B62" s="121">
        <f t="shared" ca="1" si="3"/>
        <v>0</v>
      </c>
      <c r="C62" s="2">
        <v>6</v>
      </c>
      <c r="D62">
        <f>5/32</f>
        <v>0.15625</v>
      </c>
      <c r="E62">
        <f t="shared" ca="1" si="4"/>
        <v>1</v>
      </c>
      <c r="F62">
        <f t="shared" ca="1" si="2"/>
        <v>0</v>
      </c>
      <c r="J62">
        <f t="shared" ca="1" si="5"/>
        <v>0</v>
      </c>
    </row>
    <row r="63" spans="1:10">
      <c r="A63" s="306">
        <v>60</v>
      </c>
      <c r="B63" s="121">
        <f t="shared" ca="1" si="3"/>
        <v>0</v>
      </c>
      <c r="C63" s="2">
        <v>6</v>
      </c>
      <c r="D63">
        <f>4/32</f>
        <v>0.125</v>
      </c>
      <c r="E63">
        <f t="shared" ca="1" si="4"/>
        <v>1</v>
      </c>
      <c r="F63">
        <f t="shared" ca="1" si="2"/>
        <v>0</v>
      </c>
      <c r="J63">
        <f t="shared" ca="1" si="5"/>
        <v>0</v>
      </c>
    </row>
    <row r="64" spans="1:10">
      <c r="A64" s="306">
        <v>61</v>
      </c>
      <c r="B64" s="121">
        <f t="shared" ca="1" si="3"/>
        <v>0</v>
      </c>
      <c r="C64" s="2">
        <v>6</v>
      </c>
      <c r="D64">
        <f>3/32</f>
        <v>9.375E-2</v>
      </c>
      <c r="E64">
        <f t="shared" ca="1" si="4"/>
        <v>1</v>
      </c>
      <c r="F64">
        <f t="shared" ca="1" si="2"/>
        <v>0</v>
      </c>
      <c r="J64">
        <f t="shared" ca="1" si="5"/>
        <v>0</v>
      </c>
    </row>
    <row r="65" spans="1:10">
      <c r="A65" s="306">
        <v>62</v>
      </c>
      <c r="B65" s="121">
        <f t="shared" ca="1" si="3"/>
        <v>0</v>
      </c>
      <c r="C65" s="2">
        <v>6</v>
      </c>
      <c r="D65">
        <f>2/32</f>
        <v>6.25E-2</v>
      </c>
      <c r="E65">
        <f t="shared" ca="1" si="4"/>
        <v>1</v>
      </c>
      <c r="F65">
        <f t="shared" ca="1" si="2"/>
        <v>0</v>
      </c>
      <c r="J65">
        <f t="shared" ca="1" si="5"/>
        <v>0</v>
      </c>
    </row>
    <row r="66" spans="1:10">
      <c r="A66" s="306">
        <v>63</v>
      </c>
      <c r="B66" s="121">
        <f t="shared" ca="1" si="3"/>
        <v>0</v>
      </c>
      <c r="C66" s="2">
        <v>6</v>
      </c>
      <c r="D66">
        <f>1/32</f>
        <v>3.125E-2</v>
      </c>
      <c r="E66">
        <f t="shared" ca="1" si="4"/>
        <v>1</v>
      </c>
      <c r="F66">
        <f t="shared" ca="1" si="2"/>
        <v>0</v>
      </c>
      <c r="J66">
        <f t="shared" ca="1" si="5"/>
        <v>0</v>
      </c>
    </row>
    <row r="67" spans="1:10">
      <c r="A67" s="306">
        <v>64</v>
      </c>
      <c r="B67" s="121">
        <f t="shared" ca="1" si="3"/>
        <v>0</v>
      </c>
      <c r="C67" s="2">
        <v>6</v>
      </c>
      <c r="D67">
        <v>0</v>
      </c>
      <c r="E67">
        <f t="shared" ca="1" si="4"/>
        <v>1</v>
      </c>
      <c r="F67">
        <f t="shared" ca="1" si="2"/>
        <v>0</v>
      </c>
      <c r="J67">
        <f t="shared" ca="1" si="5"/>
        <v>0</v>
      </c>
    </row>
    <row r="68" spans="1:10">
      <c r="A68" s="306">
        <v>65</v>
      </c>
      <c r="B68" s="121">
        <f t="shared" ca="1" si="3"/>
        <v>0</v>
      </c>
      <c r="E68">
        <f t="shared" ca="1" si="4"/>
        <v>1</v>
      </c>
      <c r="F68">
        <f t="shared" ca="1" si="2"/>
        <v>0</v>
      </c>
      <c r="J68">
        <f t="shared" ca="1" si="5"/>
        <v>0</v>
      </c>
    </row>
    <row r="69" spans="1:10">
      <c r="A69" s="306">
        <v>66</v>
      </c>
      <c r="B69" s="121">
        <f t="shared" ca="1" si="3"/>
        <v>0</v>
      </c>
      <c r="E69">
        <f t="shared" ca="1" si="4"/>
        <v>1</v>
      </c>
      <c r="F69">
        <f t="shared" ref="F69:F132" ca="1" si="6">IF(A69&lt;$I$3,$L$2,0)</f>
        <v>0</v>
      </c>
      <c r="J69">
        <f t="shared" ca="1" si="5"/>
        <v>0</v>
      </c>
    </row>
    <row r="70" spans="1:10">
      <c r="A70" s="306">
        <v>67</v>
      </c>
      <c r="B70" s="121">
        <f t="shared" ref="B70:B133" ca="1" si="7">J70*($H$3-C70+D70)</f>
        <v>0</v>
      </c>
      <c r="E70">
        <f t="shared" ca="1" si="4"/>
        <v>1</v>
      </c>
      <c r="F70">
        <f t="shared" ca="1" si="6"/>
        <v>0</v>
      </c>
      <c r="J70">
        <f t="shared" ca="1" si="5"/>
        <v>0</v>
      </c>
    </row>
    <row r="71" spans="1:10">
      <c r="A71" s="306">
        <v>68</v>
      </c>
      <c r="B71" s="121">
        <f t="shared" ca="1" si="7"/>
        <v>0</v>
      </c>
      <c r="E71">
        <f t="shared" ca="1" si="4"/>
        <v>1</v>
      </c>
      <c r="F71">
        <f t="shared" ca="1" si="6"/>
        <v>0</v>
      </c>
      <c r="J71">
        <f t="shared" ca="1" si="5"/>
        <v>0</v>
      </c>
    </row>
    <row r="72" spans="1:10">
      <c r="A72" s="306">
        <v>69</v>
      </c>
      <c r="B72" s="121">
        <f t="shared" ca="1" si="7"/>
        <v>0</v>
      </c>
      <c r="E72">
        <f t="shared" ca="1" si="4"/>
        <v>1</v>
      </c>
      <c r="F72">
        <f t="shared" ca="1" si="6"/>
        <v>0</v>
      </c>
      <c r="J72">
        <f t="shared" ca="1" si="5"/>
        <v>0</v>
      </c>
    </row>
    <row r="73" spans="1:10">
      <c r="A73" s="306">
        <v>70</v>
      </c>
      <c r="B73" s="121">
        <f t="shared" ca="1" si="7"/>
        <v>0</v>
      </c>
      <c r="E73">
        <f t="shared" ca="1" si="4"/>
        <v>1</v>
      </c>
      <c r="F73">
        <f t="shared" ca="1" si="6"/>
        <v>0</v>
      </c>
      <c r="J73">
        <f t="shared" ca="1" si="5"/>
        <v>0</v>
      </c>
    </row>
    <row r="74" spans="1:10">
      <c r="A74" s="306">
        <v>71</v>
      </c>
      <c r="B74" s="121">
        <f t="shared" ca="1" si="7"/>
        <v>0</v>
      </c>
      <c r="E74">
        <f t="shared" ca="1" si="4"/>
        <v>1</v>
      </c>
      <c r="F74">
        <f t="shared" ca="1" si="6"/>
        <v>0</v>
      </c>
      <c r="J74">
        <f t="shared" ca="1" si="5"/>
        <v>0</v>
      </c>
    </row>
    <row r="75" spans="1:10">
      <c r="A75" s="306">
        <v>72</v>
      </c>
      <c r="B75" s="121">
        <f t="shared" ca="1" si="7"/>
        <v>0</v>
      </c>
      <c r="E75">
        <f t="shared" ca="1" si="4"/>
        <v>1</v>
      </c>
      <c r="F75">
        <f t="shared" ca="1" si="6"/>
        <v>0</v>
      </c>
      <c r="J75">
        <f t="shared" ca="1" si="5"/>
        <v>0</v>
      </c>
    </row>
    <row r="76" spans="1:10">
      <c r="A76" s="306">
        <v>73</v>
      </c>
      <c r="B76" s="121">
        <f t="shared" ca="1" si="7"/>
        <v>0</v>
      </c>
      <c r="E76">
        <f t="shared" ca="1" si="4"/>
        <v>1</v>
      </c>
      <c r="F76">
        <f t="shared" ca="1" si="6"/>
        <v>0</v>
      </c>
      <c r="J76">
        <f t="shared" ca="1" si="5"/>
        <v>0</v>
      </c>
    </row>
    <row r="77" spans="1:10">
      <c r="A77" s="306">
        <v>74</v>
      </c>
      <c r="B77" s="121">
        <f t="shared" ca="1" si="7"/>
        <v>0</v>
      </c>
      <c r="E77">
        <f t="shared" ca="1" si="4"/>
        <v>1</v>
      </c>
      <c r="F77">
        <f t="shared" ca="1" si="6"/>
        <v>0</v>
      </c>
      <c r="J77">
        <f t="shared" ca="1" si="5"/>
        <v>0</v>
      </c>
    </row>
    <row r="78" spans="1:10">
      <c r="A78" s="306">
        <v>75</v>
      </c>
      <c r="B78" s="121">
        <f t="shared" ca="1" si="7"/>
        <v>0</v>
      </c>
      <c r="E78">
        <f t="shared" ca="1" si="4"/>
        <v>1</v>
      </c>
      <c r="F78">
        <f t="shared" ca="1" si="6"/>
        <v>0</v>
      </c>
      <c r="J78">
        <f t="shared" ca="1" si="5"/>
        <v>0</v>
      </c>
    </row>
    <row r="79" spans="1:10">
      <c r="A79" s="306">
        <v>76</v>
      </c>
      <c r="B79" s="121">
        <f t="shared" ca="1" si="7"/>
        <v>0</v>
      </c>
      <c r="E79">
        <f t="shared" ca="1" si="4"/>
        <v>1</v>
      </c>
      <c r="F79">
        <f t="shared" ca="1" si="6"/>
        <v>0</v>
      </c>
      <c r="J79">
        <f t="shared" ca="1" si="5"/>
        <v>0</v>
      </c>
    </row>
    <row r="80" spans="1:10">
      <c r="A80" s="306">
        <v>77</v>
      </c>
      <c r="B80" s="121">
        <f t="shared" ca="1" si="7"/>
        <v>0</v>
      </c>
      <c r="E80">
        <f t="shared" ca="1" si="4"/>
        <v>1</v>
      </c>
      <c r="F80">
        <f t="shared" ca="1" si="6"/>
        <v>0</v>
      </c>
      <c r="J80">
        <f t="shared" ca="1" si="5"/>
        <v>0</v>
      </c>
    </row>
    <row r="81" spans="1:10">
      <c r="A81" s="306">
        <v>78</v>
      </c>
      <c r="B81" s="121">
        <f t="shared" ca="1" si="7"/>
        <v>0</v>
      </c>
      <c r="E81">
        <f t="shared" ca="1" si="4"/>
        <v>1</v>
      </c>
      <c r="F81">
        <f t="shared" ca="1" si="6"/>
        <v>0</v>
      </c>
      <c r="J81">
        <f t="shared" ca="1" si="5"/>
        <v>0</v>
      </c>
    </row>
    <row r="82" spans="1:10">
      <c r="A82" s="306">
        <v>79</v>
      </c>
      <c r="B82" s="121">
        <f t="shared" ca="1" si="7"/>
        <v>0</v>
      </c>
      <c r="E82">
        <f t="shared" ca="1" si="4"/>
        <v>1</v>
      </c>
      <c r="F82">
        <f t="shared" ca="1" si="6"/>
        <v>0</v>
      </c>
      <c r="J82">
        <f t="shared" ca="1" si="5"/>
        <v>0</v>
      </c>
    </row>
    <row r="83" spans="1:10">
      <c r="A83" s="306">
        <v>80</v>
      </c>
      <c r="B83" s="121">
        <f t="shared" ca="1" si="7"/>
        <v>0</v>
      </c>
      <c r="E83">
        <f t="shared" ca="1" si="4"/>
        <v>1</v>
      </c>
      <c r="F83">
        <f t="shared" ca="1" si="6"/>
        <v>0</v>
      </c>
      <c r="J83">
        <f t="shared" ca="1" si="5"/>
        <v>0</v>
      </c>
    </row>
    <row r="84" spans="1:10">
      <c r="A84" s="306">
        <v>81</v>
      </c>
      <c r="B84" s="121">
        <f t="shared" ca="1" si="7"/>
        <v>0</v>
      </c>
      <c r="E84">
        <f t="shared" ca="1" si="4"/>
        <v>1</v>
      </c>
      <c r="F84">
        <f t="shared" ca="1" si="6"/>
        <v>0</v>
      </c>
      <c r="J84">
        <f t="shared" ca="1" si="5"/>
        <v>0</v>
      </c>
    </row>
    <row r="85" spans="1:10">
      <c r="A85" s="306">
        <v>82</v>
      </c>
      <c r="B85" s="121">
        <f t="shared" ca="1" si="7"/>
        <v>0</v>
      </c>
      <c r="E85">
        <f t="shared" ca="1" si="4"/>
        <v>1</v>
      </c>
      <c r="F85">
        <f t="shared" ca="1" si="6"/>
        <v>0</v>
      </c>
      <c r="J85">
        <f t="shared" ca="1" si="5"/>
        <v>0</v>
      </c>
    </row>
    <row r="86" spans="1:10">
      <c r="A86" s="306">
        <v>83</v>
      </c>
      <c r="B86" s="121">
        <f t="shared" ca="1" si="7"/>
        <v>0</v>
      </c>
      <c r="E86">
        <f t="shared" ca="1" si="4"/>
        <v>1</v>
      </c>
      <c r="F86">
        <f t="shared" ca="1" si="6"/>
        <v>0</v>
      </c>
      <c r="J86">
        <f t="shared" ca="1" si="5"/>
        <v>0</v>
      </c>
    </row>
    <row r="87" spans="1:10">
      <c r="A87" s="306">
        <v>84</v>
      </c>
      <c r="B87" s="121">
        <f t="shared" ca="1" si="7"/>
        <v>0</v>
      </c>
      <c r="E87">
        <f t="shared" ca="1" si="4"/>
        <v>1</v>
      </c>
      <c r="F87">
        <f t="shared" ca="1" si="6"/>
        <v>0</v>
      </c>
      <c r="J87">
        <f t="shared" ca="1" si="5"/>
        <v>0</v>
      </c>
    </row>
    <row r="88" spans="1:10">
      <c r="A88" s="306">
        <v>85</v>
      </c>
      <c r="B88" s="121">
        <f t="shared" ca="1" si="7"/>
        <v>0</v>
      </c>
      <c r="E88">
        <f t="shared" ca="1" si="4"/>
        <v>1</v>
      </c>
      <c r="F88">
        <f t="shared" ca="1" si="6"/>
        <v>0</v>
      </c>
      <c r="J88">
        <f t="shared" ca="1" si="5"/>
        <v>0</v>
      </c>
    </row>
    <row r="89" spans="1:10">
      <c r="A89" s="306">
        <v>86</v>
      </c>
      <c r="B89" s="121">
        <f t="shared" ca="1" si="7"/>
        <v>0</v>
      </c>
      <c r="E89">
        <f t="shared" ca="1" si="4"/>
        <v>1</v>
      </c>
      <c r="F89">
        <f t="shared" ca="1" si="6"/>
        <v>0</v>
      </c>
      <c r="J89">
        <f t="shared" ca="1" si="5"/>
        <v>0</v>
      </c>
    </row>
    <row r="90" spans="1:10">
      <c r="A90" s="306">
        <v>87</v>
      </c>
      <c r="B90" s="121">
        <f t="shared" ca="1" si="7"/>
        <v>0</v>
      </c>
      <c r="E90">
        <f t="shared" ref="E90:E153" ca="1" si="8">J90*(B90*$L$1+F90)-(J90-1)*$L$3</f>
        <v>1</v>
      </c>
      <c r="F90">
        <f t="shared" ca="1" si="6"/>
        <v>0</v>
      </c>
      <c r="J90">
        <f t="shared" ca="1" si="5"/>
        <v>0</v>
      </c>
    </row>
    <row r="91" spans="1:10">
      <c r="A91" s="306">
        <v>88</v>
      </c>
      <c r="B91" s="121">
        <f t="shared" ca="1" si="7"/>
        <v>0</v>
      </c>
      <c r="E91">
        <f t="shared" ca="1" si="8"/>
        <v>1</v>
      </c>
      <c r="F91">
        <f t="shared" ca="1" si="6"/>
        <v>0</v>
      </c>
      <c r="J91">
        <f t="shared" ref="J91:J154" ca="1" si="9">IF($I$3&lt;=A91,0,1)</f>
        <v>0</v>
      </c>
    </row>
    <row r="92" spans="1:10">
      <c r="A92" s="306">
        <v>89</v>
      </c>
      <c r="B92" s="121">
        <f t="shared" ca="1" si="7"/>
        <v>0</v>
      </c>
      <c r="E92">
        <f t="shared" ca="1" si="8"/>
        <v>1</v>
      </c>
      <c r="F92">
        <f t="shared" ca="1" si="6"/>
        <v>0</v>
      </c>
      <c r="J92">
        <f t="shared" ca="1" si="9"/>
        <v>0</v>
      </c>
    </row>
    <row r="93" spans="1:10">
      <c r="A93" s="306">
        <v>90</v>
      </c>
      <c r="B93" s="121">
        <f t="shared" ca="1" si="7"/>
        <v>0</v>
      </c>
      <c r="E93">
        <f t="shared" ca="1" si="8"/>
        <v>1</v>
      </c>
      <c r="F93">
        <f t="shared" ca="1" si="6"/>
        <v>0</v>
      </c>
      <c r="J93">
        <f t="shared" ca="1" si="9"/>
        <v>0</v>
      </c>
    </row>
    <row r="94" spans="1:10">
      <c r="A94" s="306">
        <v>91</v>
      </c>
      <c r="B94" s="121">
        <f t="shared" ca="1" si="7"/>
        <v>0</v>
      </c>
      <c r="E94">
        <f t="shared" ca="1" si="8"/>
        <v>1</v>
      </c>
      <c r="F94">
        <f t="shared" ca="1" si="6"/>
        <v>0</v>
      </c>
      <c r="J94">
        <f t="shared" ca="1" si="9"/>
        <v>0</v>
      </c>
    </row>
    <row r="95" spans="1:10">
      <c r="A95" s="306">
        <v>92</v>
      </c>
      <c r="B95" s="121">
        <f t="shared" ca="1" si="7"/>
        <v>0</v>
      </c>
      <c r="E95">
        <f t="shared" ca="1" si="8"/>
        <v>1</v>
      </c>
      <c r="F95">
        <f t="shared" ca="1" si="6"/>
        <v>0</v>
      </c>
      <c r="J95">
        <f t="shared" ca="1" si="9"/>
        <v>0</v>
      </c>
    </row>
    <row r="96" spans="1:10">
      <c r="A96" s="306">
        <v>93</v>
      </c>
      <c r="B96" s="121">
        <f t="shared" ca="1" si="7"/>
        <v>0</v>
      </c>
      <c r="E96">
        <f t="shared" ca="1" si="8"/>
        <v>1</v>
      </c>
      <c r="F96">
        <f t="shared" ca="1" si="6"/>
        <v>0</v>
      </c>
      <c r="J96">
        <f t="shared" ca="1" si="9"/>
        <v>0</v>
      </c>
    </row>
    <row r="97" spans="1:10">
      <c r="A97" s="306">
        <v>94</v>
      </c>
      <c r="B97" s="121">
        <f t="shared" ca="1" si="7"/>
        <v>0</v>
      </c>
      <c r="E97">
        <f t="shared" ca="1" si="8"/>
        <v>1</v>
      </c>
      <c r="F97">
        <f t="shared" ca="1" si="6"/>
        <v>0</v>
      </c>
      <c r="J97">
        <f t="shared" ca="1" si="9"/>
        <v>0</v>
      </c>
    </row>
    <row r="98" spans="1:10">
      <c r="A98" s="306">
        <v>95</v>
      </c>
      <c r="B98" s="121">
        <f t="shared" ca="1" si="7"/>
        <v>0</v>
      </c>
      <c r="E98">
        <f t="shared" ca="1" si="8"/>
        <v>1</v>
      </c>
      <c r="F98">
        <f t="shared" ca="1" si="6"/>
        <v>0</v>
      </c>
      <c r="J98">
        <f t="shared" ca="1" si="9"/>
        <v>0</v>
      </c>
    </row>
    <row r="99" spans="1:10">
      <c r="A99" s="306">
        <v>96</v>
      </c>
      <c r="B99" s="121">
        <f t="shared" ca="1" si="7"/>
        <v>0</v>
      </c>
      <c r="E99">
        <f t="shared" ca="1" si="8"/>
        <v>1</v>
      </c>
      <c r="F99">
        <f t="shared" ca="1" si="6"/>
        <v>0</v>
      </c>
      <c r="J99">
        <f t="shared" ca="1" si="9"/>
        <v>0</v>
      </c>
    </row>
    <row r="100" spans="1:10">
      <c r="A100" s="306">
        <v>97</v>
      </c>
      <c r="B100" s="121">
        <f t="shared" ca="1" si="7"/>
        <v>0</v>
      </c>
      <c r="E100">
        <f t="shared" ca="1" si="8"/>
        <v>1</v>
      </c>
      <c r="F100">
        <f t="shared" ca="1" si="6"/>
        <v>0</v>
      </c>
      <c r="J100">
        <f t="shared" ca="1" si="9"/>
        <v>0</v>
      </c>
    </row>
    <row r="101" spans="1:10">
      <c r="A101" s="306">
        <v>98</v>
      </c>
      <c r="B101" s="121">
        <f t="shared" ca="1" si="7"/>
        <v>0</v>
      </c>
      <c r="E101">
        <f t="shared" ca="1" si="8"/>
        <v>1</v>
      </c>
      <c r="F101">
        <f t="shared" ca="1" si="6"/>
        <v>0</v>
      </c>
      <c r="J101">
        <f t="shared" ca="1" si="9"/>
        <v>0</v>
      </c>
    </row>
    <row r="102" spans="1:10">
      <c r="A102" s="306">
        <v>99</v>
      </c>
      <c r="B102" s="121">
        <f t="shared" ca="1" si="7"/>
        <v>0</v>
      </c>
      <c r="E102">
        <f t="shared" ca="1" si="8"/>
        <v>1</v>
      </c>
      <c r="F102">
        <f t="shared" ca="1" si="6"/>
        <v>0</v>
      </c>
      <c r="J102">
        <f t="shared" ca="1" si="9"/>
        <v>0</v>
      </c>
    </row>
    <row r="103" spans="1:10">
      <c r="A103" s="306">
        <v>100</v>
      </c>
      <c r="B103" s="121">
        <f t="shared" ca="1" si="7"/>
        <v>0</v>
      </c>
      <c r="E103">
        <f t="shared" ca="1" si="8"/>
        <v>1</v>
      </c>
      <c r="F103">
        <f t="shared" ca="1" si="6"/>
        <v>0</v>
      </c>
      <c r="J103">
        <f t="shared" ca="1" si="9"/>
        <v>0</v>
      </c>
    </row>
    <row r="104" spans="1:10">
      <c r="A104" s="306">
        <v>101</v>
      </c>
      <c r="B104" s="121">
        <f t="shared" ca="1" si="7"/>
        <v>0</v>
      </c>
      <c r="E104">
        <f t="shared" ca="1" si="8"/>
        <v>1</v>
      </c>
      <c r="F104">
        <f t="shared" ca="1" si="6"/>
        <v>0</v>
      </c>
      <c r="J104">
        <f t="shared" ca="1" si="9"/>
        <v>0</v>
      </c>
    </row>
    <row r="105" spans="1:10">
      <c r="A105" s="306">
        <v>102</v>
      </c>
      <c r="B105" s="121">
        <f t="shared" ca="1" si="7"/>
        <v>0</v>
      </c>
      <c r="E105">
        <f t="shared" ca="1" si="8"/>
        <v>1</v>
      </c>
      <c r="F105">
        <f t="shared" ca="1" si="6"/>
        <v>0</v>
      </c>
      <c r="J105">
        <f t="shared" ca="1" si="9"/>
        <v>0</v>
      </c>
    </row>
    <row r="106" spans="1:10">
      <c r="A106" s="306">
        <v>103</v>
      </c>
      <c r="B106" s="121">
        <f t="shared" ca="1" si="7"/>
        <v>0</v>
      </c>
      <c r="E106">
        <f t="shared" ca="1" si="8"/>
        <v>1</v>
      </c>
      <c r="F106">
        <f t="shared" ca="1" si="6"/>
        <v>0</v>
      </c>
      <c r="J106">
        <f t="shared" ca="1" si="9"/>
        <v>0</v>
      </c>
    </row>
    <row r="107" spans="1:10">
      <c r="A107" s="306">
        <v>104</v>
      </c>
      <c r="B107" s="121">
        <f t="shared" ca="1" si="7"/>
        <v>0</v>
      </c>
      <c r="E107">
        <f t="shared" ca="1" si="8"/>
        <v>1</v>
      </c>
      <c r="F107">
        <f t="shared" ca="1" si="6"/>
        <v>0</v>
      </c>
      <c r="J107">
        <f t="shared" ca="1" si="9"/>
        <v>0</v>
      </c>
    </row>
    <row r="108" spans="1:10">
      <c r="A108" s="306">
        <v>105</v>
      </c>
      <c r="B108" s="121">
        <f t="shared" ca="1" si="7"/>
        <v>0</v>
      </c>
      <c r="E108">
        <f t="shared" ca="1" si="8"/>
        <v>1</v>
      </c>
      <c r="F108">
        <f t="shared" ca="1" si="6"/>
        <v>0</v>
      </c>
      <c r="J108">
        <f t="shared" ca="1" si="9"/>
        <v>0</v>
      </c>
    </row>
    <row r="109" spans="1:10">
      <c r="A109" s="306">
        <v>106</v>
      </c>
      <c r="B109" s="121">
        <f t="shared" ca="1" si="7"/>
        <v>0</v>
      </c>
      <c r="E109">
        <f t="shared" ca="1" si="8"/>
        <v>1</v>
      </c>
      <c r="F109">
        <f t="shared" ca="1" si="6"/>
        <v>0</v>
      </c>
      <c r="J109">
        <f t="shared" ca="1" si="9"/>
        <v>0</v>
      </c>
    </row>
    <row r="110" spans="1:10">
      <c r="A110" s="306">
        <v>107</v>
      </c>
      <c r="B110" s="121">
        <f t="shared" ca="1" si="7"/>
        <v>0</v>
      </c>
      <c r="E110">
        <f t="shared" ca="1" si="8"/>
        <v>1</v>
      </c>
      <c r="F110">
        <f t="shared" ca="1" si="6"/>
        <v>0</v>
      </c>
      <c r="J110">
        <f t="shared" ca="1" si="9"/>
        <v>0</v>
      </c>
    </row>
    <row r="111" spans="1:10">
      <c r="A111" s="306">
        <v>108</v>
      </c>
      <c r="B111" s="121">
        <f t="shared" ca="1" si="7"/>
        <v>0</v>
      </c>
      <c r="E111">
        <f t="shared" ca="1" si="8"/>
        <v>1</v>
      </c>
      <c r="F111">
        <f t="shared" ca="1" si="6"/>
        <v>0</v>
      </c>
      <c r="J111">
        <f t="shared" ca="1" si="9"/>
        <v>0</v>
      </c>
    </row>
    <row r="112" spans="1:10">
      <c r="A112" s="306">
        <v>109</v>
      </c>
      <c r="B112" s="121">
        <f t="shared" ca="1" si="7"/>
        <v>0</v>
      </c>
      <c r="E112">
        <f t="shared" ca="1" si="8"/>
        <v>1</v>
      </c>
      <c r="F112">
        <f t="shared" ca="1" si="6"/>
        <v>0</v>
      </c>
      <c r="J112">
        <f t="shared" ca="1" si="9"/>
        <v>0</v>
      </c>
    </row>
    <row r="113" spans="1:10">
      <c r="A113" s="306">
        <v>110</v>
      </c>
      <c r="B113" s="121">
        <f t="shared" ca="1" si="7"/>
        <v>0</v>
      </c>
      <c r="E113">
        <f t="shared" ca="1" si="8"/>
        <v>1</v>
      </c>
      <c r="F113">
        <f t="shared" ca="1" si="6"/>
        <v>0</v>
      </c>
      <c r="J113">
        <f t="shared" ca="1" si="9"/>
        <v>0</v>
      </c>
    </row>
    <row r="114" spans="1:10">
      <c r="A114" s="306">
        <v>111</v>
      </c>
      <c r="B114" s="121">
        <f t="shared" ca="1" si="7"/>
        <v>0</v>
      </c>
      <c r="E114">
        <f t="shared" ca="1" si="8"/>
        <v>1</v>
      </c>
      <c r="F114">
        <f t="shared" ca="1" si="6"/>
        <v>0</v>
      </c>
      <c r="J114">
        <f t="shared" ca="1" si="9"/>
        <v>0</v>
      </c>
    </row>
    <row r="115" spans="1:10">
      <c r="A115" s="306">
        <v>112</v>
      </c>
      <c r="B115" s="121">
        <f t="shared" ca="1" si="7"/>
        <v>0</v>
      </c>
      <c r="E115">
        <f t="shared" ca="1" si="8"/>
        <v>1</v>
      </c>
      <c r="F115">
        <f t="shared" ca="1" si="6"/>
        <v>0</v>
      </c>
      <c r="J115">
        <f t="shared" ca="1" si="9"/>
        <v>0</v>
      </c>
    </row>
    <row r="116" spans="1:10">
      <c r="A116" s="306">
        <v>113</v>
      </c>
      <c r="B116" s="121">
        <f t="shared" ca="1" si="7"/>
        <v>0</v>
      </c>
      <c r="E116">
        <f t="shared" ca="1" si="8"/>
        <v>1</v>
      </c>
      <c r="F116">
        <f t="shared" ca="1" si="6"/>
        <v>0</v>
      </c>
      <c r="J116">
        <f t="shared" ca="1" si="9"/>
        <v>0</v>
      </c>
    </row>
    <row r="117" spans="1:10">
      <c r="A117" s="306">
        <v>114</v>
      </c>
      <c r="B117" s="121">
        <f t="shared" ca="1" si="7"/>
        <v>0</v>
      </c>
      <c r="E117">
        <f t="shared" ca="1" si="8"/>
        <v>1</v>
      </c>
      <c r="F117">
        <f t="shared" ca="1" si="6"/>
        <v>0</v>
      </c>
      <c r="J117">
        <f t="shared" ca="1" si="9"/>
        <v>0</v>
      </c>
    </row>
    <row r="118" spans="1:10">
      <c r="A118" s="306">
        <v>115</v>
      </c>
      <c r="B118" s="121">
        <f t="shared" ca="1" si="7"/>
        <v>0</v>
      </c>
      <c r="E118">
        <f t="shared" ca="1" si="8"/>
        <v>1</v>
      </c>
      <c r="F118">
        <f t="shared" ca="1" si="6"/>
        <v>0</v>
      </c>
      <c r="J118">
        <f t="shared" ca="1" si="9"/>
        <v>0</v>
      </c>
    </row>
    <row r="119" spans="1:10">
      <c r="A119" s="306">
        <v>116</v>
      </c>
      <c r="B119" s="121">
        <f t="shared" ca="1" si="7"/>
        <v>0</v>
      </c>
      <c r="E119">
        <f t="shared" ca="1" si="8"/>
        <v>1</v>
      </c>
      <c r="F119">
        <f t="shared" ca="1" si="6"/>
        <v>0</v>
      </c>
      <c r="J119">
        <f t="shared" ca="1" si="9"/>
        <v>0</v>
      </c>
    </row>
    <row r="120" spans="1:10">
      <c r="A120" s="306">
        <v>117</v>
      </c>
      <c r="B120" s="121">
        <f t="shared" ca="1" si="7"/>
        <v>0</v>
      </c>
      <c r="E120">
        <f t="shared" ca="1" si="8"/>
        <v>1</v>
      </c>
      <c r="F120">
        <f t="shared" ca="1" si="6"/>
        <v>0</v>
      </c>
      <c r="J120">
        <f t="shared" ca="1" si="9"/>
        <v>0</v>
      </c>
    </row>
    <row r="121" spans="1:10">
      <c r="A121" s="306">
        <v>118</v>
      </c>
      <c r="B121" s="121">
        <f t="shared" ca="1" si="7"/>
        <v>0</v>
      </c>
      <c r="E121">
        <f t="shared" ca="1" si="8"/>
        <v>1</v>
      </c>
      <c r="F121">
        <f t="shared" ca="1" si="6"/>
        <v>0</v>
      </c>
      <c r="J121">
        <f t="shared" ca="1" si="9"/>
        <v>0</v>
      </c>
    </row>
    <row r="122" spans="1:10">
      <c r="A122" s="306">
        <v>119</v>
      </c>
      <c r="B122" s="121">
        <f t="shared" ca="1" si="7"/>
        <v>0</v>
      </c>
      <c r="E122">
        <f t="shared" ca="1" si="8"/>
        <v>1</v>
      </c>
      <c r="F122">
        <f t="shared" ca="1" si="6"/>
        <v>0</v>
      </c>
      <c r="J122">
        <f t="shared" ca="1" si="9"/>
        <v>0</v>
      </c>
    </row>
    <row r="123" spans="1:10">
      <c r="A123" s="306">
        <v>120</v>
      </c>
      <c r="B123" s="121">
        <f t="shared" ca="1" si="7"/>
        <v>0</v>
      </c>
      <c r="E123">
        <f t="shared" ca="1" si="8"/>
        <v>1</v>
      </c>
      <c r="F123">
        <f t="shared" ca="1" si="6"/>
        <v>0</v>
      </c>
      <c r="J123">
        <f t="shared" ca="1" si="9"/>
        <v>0</v>
      </c>
    </row>
    <row r="124" spans="1:10">
      <c r="A124" s="306">
        <v>121</v>
      </c>
      <c r="B124" s="121">
        <f t="shared" ca="1" si="7"/>
        <v>0</v>
      </c>
      <c r="E124">
        <f t="shared" ca="1" si="8"/>
        <v>1</v>
      </c>
      <c r="F124">
        <f t="shared" ca="1" si="6"/>
        <v>0</v>
      </c>
      <c r="J124">
        <f t="shared" ca="1" si="9"/>
        <v>0</v>
      </c>
    </row>
    <row r="125" spans="1:10">
      <c r="A125" s="306">
        <v>122</v>
      </c>
      <c r="B125" s="121">
        <f t="shared" ca="1" si="7"/>
        <v>0</v>
      </c>
      <c r="E125">
        <f t="shared" ca="1" si="8"/>
        <v>1</v>
      </c>
      <c r="F125">
        <f t="shared" ca="1" si="6"/>
        <v>0</v>
      </c>
      <c r="J125">
        <f t="shared" ca="1" si="9"/>
        <v>0</v>
      </c>
    </row>
    <row r="126" spans="1:10">
      <c r="A126" s="306">
        <v>123</v>
      </c>
      <c r="B126" s="121">
        <f t="shared" ca="1" si="7"/>
        <v>0</v>
      </c>
      <c r="E126">
        <f t="shared" ca="1" si="8"/>
        <v>1</v>
      </c>
      <c r="F126">
        <f t="shared" ca="1" si="6"/>
        <v>0</v>
      </c>
      <c r="J126">
        <f t="shared" ca="1" si="9"/>
        <v>0</v>
      </c>
    </row>
    <row r="127" spans="1:10">
      <c r="A127" s="306">
        <v>124</v>
      </c>
      <c r="B127" s="121">
        <f t="shared" ca="1" si="7"/>
        <v>0</v>
      </c>
      <c r="E127">
        <f t="shared" ca="1" si="8"/>
        <v>1</v>
      </c>
      <c r="F127">
        <f t="shared" ca="1" si="6"/>
        <v>0</v>
      </c>
      <c r="J127">
        <f t="shared" ca="1" si="9"/>
        <v>0</v>
      </c>
    </row>
    <row r="128" spans="1:10">
      <c r="A128" s="306">
        <v>125</v>
      </c>
      <c r="B128" s="121">
        <f t="shared" ca="1" si="7"/>
        <v>0</v>
      </c>
      <c r="E128">
        <f t="shared" ca="1" si="8"/>
        <v>1</v>
      </c>
      <c r="F128">
        <f t="shared" ca="1" si="6"/>
        <v>0</v>
      </c>
      <c r="J128">
        <f t="shared" ca="1" si="9"/>
        <v>0</v>
      </c>
    </row>
    <row r="129" spans="1:10">
      <c r="A129" s="306">
        <v>126</v>
      </c>
      <c r="B129" s="121">
        <f t="shared" ca="1" si="7"/>
        <v>0</v>
      </c>
      <c r="E129">
        <f t="shared" ca="1" si="8"/>
        <v>1</v>
      </c>
      <c r="F129">
        <f t="shared" ca="1" si="6"/>
        <v>0</v>
      </c>
      <c r="J129">
        <f t="shared" ca="1" si="9"/>
        <v>0</v>
      </c>
    </row>
    <row r="130" spans="1:10">
      <c r="A130" s="306">
        <v>127</v>
      </c>
      <c r="B130" s="121">
        <f t="shared" ca="1" si="7"/>
        <v>0</v>
      </c>
      <c r="E130">
        <f t="shared" ca="1" si="8"/>
        <v>1</v>
      </c>
      <c r="F130">
        <f t="shared" ca="1" si="6"/>
        <v>0</v>
      </c>
      <c r="J130">
        <f t="shared" ca="1" si="9"/>
        <v>0</v>
      </c>
    </row>
    <row r="131" spans="1:10">
      <c r="A131" s="306">
        <v>128</v>
      </c>
      <c r="B131" s="121">
        <f t="shared" ca="1" si="7"/>
        <v>0</v>
      </c>
      <c r="E131">
        <f t="shared" ca="1" si="8"/>
        <v>1</v>
      </c>
      <c r="F131">
        <f t="shared" ca="1" si="6"/>
        <v>0</v>
      </c>
      <c r="J131">
        <f t="shared" ca="1" si="9"/>
        <v>0</v>
      </c>
    </row>
    <row r="132" spans="1:10">
      <c r="A132" s="306">
        <v>129</v>
      </c>
      <c r="B132" s="121">
        <f t="shared" ca="1" si="7"/>
        <v>0</v>
      </c>
      <c r="E132">
        <f t="shared" ca="1" si="8"/>
        <v>1</v>
      </c>
      <c r="F132">
        <f t="shared" ca="1" si="6"/>
        <v>0</v>
      </c>
      <c r="J132">
        <f t="shared" ca="1" si="9"/>
        <v>0</v>
      </c>
    </row>
    <row r="133" spans="1:10">
      <c r="A133" s="306">
        <v>130</v>
      </c>
      <c r="B133" s="121">
        <f t="shared" ca="1" si="7"/>
        <v>0</v>
      </c>
      <c r="E133">
        <f t="shared" ca="1" si="8"/>
        <v>1</v>
      </c>
      <c r="F133">
        <f t="shared" ref="F133:F196" ca="1" si="10">IF(A133&lt;$I$3,$L$2,0)</f>
        <v>0</v>
      </c>
      <c r="J133">
        <f t="shared" ca="1" si="9"/>
        <v>0</v>
      </c>
    </row>
    <row r="134" spans="1:10">
      <c r="A134" s="306">
        <v>131</v>
      </c>
      <c r="B134" s="121">
        <f t="shared" ref="B134:B197" ca="1" si="11">J134*($H$3-C134+D134)</f>
        <v>0</v>
      </c>
      <c r="E134">
        <f t="shared" ca="1" si="8"/>
        <v>1</v>
      </c>
      <c r="F134">
        <f t="shared" ca="1" si="10"/>
        <v>0</v>
      </c>
      <c r="J134">
        <f t="shared" ca="1" si="9"/>
        <v>0</v>
      </c>
    </row>
    <row r="135" spans="1:10">
      <c r="A135" s="306">
        <v>132</v>
      </c>
      <c r="B135" s="121">
        <f t="shared" ca="1" si="11"/>
        <v>0</v>
      </c>
      <c r="E135">
        <f t="shared" ca="1" si="8"/>
        <v>1</v>
      </c>
      <c r="F135">
        <f t="shared" ca="1" si="10"/>
        <v>0</v>
      </c>
      <c r="J135">
        <f t="shared" ca="1" si="9"/>
        <v>0</v>
      </c>
    </row>
    <row r="136" spans="1:10">
      <c r="A136" s="306">
        <v>133</v>
      </c>
      <c r="B136" s="121">
        <f t="shared" ca="1" si="11"/>
        <v>0</v>
      </c>
      <c r="E136">
        <f t="shared" ca="1" si="8"/>
        <v>1</v>
      </c>
      <c r="F136">
        <f t="shared" ca="1" si="10"/>
        <v>0</v>
      </c>
      <c r="J136">
        <f t="shared" ca="1" si="9"/>
        <v>0</v>
      </c>
    </row>
    <row r="137" spans="1:10">
      <c r="A137" s="306">
        <v>134</v>
      </c>
      <c r="B137" s="121">
        <f t="shared" ca="1" si="11"/>
        <v>0</v>
      </c>
      <c r="E137">
        <f t="shared" ca="1" si="8"/>
        <v>1</v>
      </c>
      <c r="F137">
        <f t="shared" ca="1" si="10"/>
        <v>0</v>
      </c>
      <c r="J137">
        <f t="shared" ca="1" si="9"/>
        <v>0</v>
      </c>
    </row>
    <row r="138" spans="1:10">
      <c r="A138" s="306">
        <v>135</v>
      </c>
      <c r="B138" s="121">
        <f t="shared" ca="1" si="11"/>
        <v>0</v>
      </c>
      <c r="E138">
        <f t="shared" ca="1" si="8"/>
        <v>1</v>
      </c>
      <c r="F138">
        <f t="shared" ca="1" si="10"/>
        <v>0</v>
      </c>
      <c r="J138">
        <f t="shared" ca="1" si="9"/>
        <v>0</v>
      </c>
    </row>
    <row r="139" spans="1:10">
      <c r="A139" s="306">
        <v>136</v>
      </c>
      <c r="B139" s="121">
        <f t="shared" ca="1" si="11"/>
        <v>0</v>
      </c>
      <c r="E139">
        <f t="shared" ca="1" si="8"/>
        <v>1</v>
      </c>
      <c r="F139">
        <f t="shared" ca="1" si="10"/>
        <v>0</v>
      </c>
      <c r="J139">
        <f t="shared" ca="1" si="9"/>
        <v>0</v>
      </c>
    </row>
    <row r="140" spans="1:10">
      <c r="A140" s="306">
        <v>137</v>
      </c>
      <c r="B140" s="121">
        <f t="shared" ca="1" si="11"/>
        <v>0</v>
      </c>
      <c r="E140">
        <f t="shared" ca="1" si="8"/>
        <v>1</v>
      </c>
      <c r="F140">
        <f t="shared" ca="1" si="10"/>
        <v>0</v>
      </c>
      <c r="J140">
        <f t="shared" ca="1" si="9"/>
        <v>0</v>
      </c>
    </row>
    <row r="141" spans="1:10">
      <c r="A141" s="306">
        <v>138</v>
      </c>
      <c r="B141" s="121">
        <f t="shared" ca="1" si="11"/>
        <v>0</v>
      </c>
      <c r="E141">
        <f t="shared" ca="1" si="8"/>
        <v>1</v>
      </c>
      <c r="F141">
        <f t="shared" ca="1" si="10"/>
        <v>0</v>
      </c>
      <c r="J141">
        <f t="shared" ca="1" si="9"/>
        <v>0</v>
      </c>
    </row>
    <row r="142" spans="1:10">
      <c r="A142" s="306">
        <v>139</v>
      </c>
      <c r="B142" s="121">
        <f t="shared" ca="1" si="11"/>
        <v>0</v>
      </c>
      <c r="E142">
        <f t="shared" ca="1" si="8"/>
        <v>1</v>
      </c>
      <c r="F142">
        <f t="shared" ca="1" si="10"/>
        <v>0</v>
      </c>
      <c r="J142">
        <f t="shared" ca="1" si="9"/>
        <v>0</v>
      </c>
    </row>
    <row r="143" spans="1:10">
      <c r="A143" s="306">
        <v>140</v>
      </c>
      <c r="B143" s="121">
        <f t="shared" ca="1" si="11"/>
        <v>0</v>
      </c>
      <c r="E143">
        <f t="shared" ca="1" si="8"/>
        <v>1</v>
      </c>
      <c r="F143">
        <f t="shared" ca="1" si="10"/>
        <v>0</v>
      </c>
      <c r="J143">
        <f t="shared" ca="1" si="9"/>
        <v>0</v>
      </c>
    </row>
    <row r="144" spans="1:10">
      <c r="A144" s="306">
        <v>141</v>
      </c>
      <c r="B144" s="121">
        <f t="shared" ca="1" si="11"/>
        <v>0</v>
      </c>
      <c r="E144">
        <f t="shared" ca="1" si="8"/>
        <v>1</v>
      </c>
      <c r="F144">
        <f t="shared" ca="1" si="10"/>
        <v>0</v>
      </c>
      <c r="J144">
        <f t="shared" ca="1" si="9"/>
        <v>0</v>
      </c>
    </row>
    <row r="145" spans="1:10">
      <c r="A145" s="306">
        <v>142</v>
      </c>
      <c r="B145" s="121">
        <f t="shared" ca="1" si="11"/>
        <v>0</v>
      </c>
      <c r="E145">
        <f t="shared" ca="1" si="8"/>
        <v>1</v>
      </c>
      <c r="F145">
        <f t="shared" ca="1" si="10"/>
        <v>0</v>
      </c>
      <c r="J145">
        <f t="shared" ca="1" si="9"/>
        <v>0</v>
      </c>
    </row>
    <row r="146" spans="1:10">
      <c r="A146" s="306">
        <v>143</v>
      </c>
      <c r="B146" s="121">
        <f t="shared" ca="1" si="11"/>
        <v>0</v>
      </c>
      <c r="E146">
        <f t="shared" ca="1" si="8"/>
        <v>1</v>
      </c>
      <c r="F146">
        <f t="shared" ca="1" si="10"/>
        <v>0</v>
      </c>
      <c r="J146">
        <f t="shared" ca="1" si="9"/>
        <v>0</v>
      </c>
    </row>
    <row r="147" spans="1:10">
      <c r="A147" s="306">
        <v>144</v>
      </c>
      <c r="B147" s="121">
        <f t="shared" ca="1" si="11"/>
        <v>0</v>
      </c>
      <c r="E147">
        <f t="shared" ca="1" si="8"/>
        <v>1</v>
      </c>
      <c r="F147">
        <f t="shared" ca="1" si="10"/>
        <v>0</v>
      </c>
      <c r="J147">
        <f t="shared" ca="1" si="9"/>
        <v>0</v>
      </c>
    </row>
    <row r="148" spans="1:10">
      <c r="A148" s="306">
        <v>145</v>
      </c>
      <c r="B148" s="121">
        <f t="shared" ca="1" si="11"/>
        <v>0</v>
      </c>
      <c r="E148">
        <f t="shared" ca="1" si="8"/>
        <v>1</v>
      </c>
      <c r="F148">
        <f t="shared" ca="1" si="10"/>
        <v>0</v>
      </c>
      <c r="J148">
        <f t="shared" ca="1" si="9"/>
        <v>0</v>
      </c>
    </row>
    <row r="149" spans="1:10">
      <c r="A149" s="306">
        <v>146</v>
      </c>
      <c r="B149" s="121">
        <f t="shared" ca="1" si="11"/>
        <v>0</v>
      </c>
      <c r="E149">
        <f t="shared" ca="1" si="8"/>
        <v>1</v>
      </c>
      <c r="F149">
        <f t="shared" ca="1" si="10"/>
        <v>0</v>
      </c>
      <c r="J149">
        <f t="shared" ca="1" si="9"/>
        <v>0</v>
      </c>
    </row>
    <row r="150" spans="1:10">
      <c r="A150" s="306">
        <v>147</v>
      </c>
      <c r="B150" s="121">
        <f t="shared" ca="1" si="11"/>
        <v>0</v>
      </c>
      <c r="E150">
        <f t="shared" ca="1" si="8"/>
        <v>1</v>
      </c>
      <c r="F150">
        <f t="shared" ca="1" si="10"/>
        <v>0</v>
      </c>
      <c r="J150">
        <f t="shared" ca="1" si="9"/>
        <v>0</v>
      </c>
    </row>
    <row r="151" spans="1:10">
      <c r="A151" s="306">
        <v>148</v>
      </c>
      <c r="B151" s="121">
        <f t="shared" ca="1" si="11"/>
        <v>0</v>
      </c>
      <c r="E151">
        <f t="shared" ca="1" si="8"/>
        <v>1</v>
      </c>
      <c r="F151">
        <f t="shared" ca="1" si="10"/>
        <v>0</v>
      </c>
      <c r="J151">
        <f t="shared" ca="1" si="9"/>
        <v>0</v>
      </c>
    </row>
    <row r="152" spans="1:10">
      <c r="A152" s="306">
        <v>149</v>
      </c>
      <c r="B152" s="121">
        <f t="shared" ca="1" si="11"/>
        <v>0</v>
      </c>
      <c r="E152">
        <f t="shared" ca="1" si="8"/>
        <v>1</v>
      </c>
      <c r="F152">
        <f t="shared" ca="1" si="10"/>
        <v>0</v>
      </c>
      <c r="J152">
        <f t="shared" ca="1" si="9"/>
        <v>0</v>
      </c>
    </row>
    <row r="153" spans="1:10">
      <c r="A153" s="306">
        <v>150</v>
      </c>
      <c r="B153" s="121">
        <f t="shared" ca="1" si="11"/>
        <v>0</v>
      </c>
      <c r="E153">
        <f t="shared" ca="1" si="8"/>
        <v>1</v>
      </c>
      <c r="F153">
        <f t="shared" ca="1" si="10"/>
        <v>0</v>
      </c>
      <c r="J153">
        <f t="shared" ca="1" si="9"/>
        <v>0</v>
      </c>
    </row>
    <row r="154" spans="1:10">
      <c r="A154" s="306">
        <v>151</v>
      </c>
      <c r="B154" s="121">
        <f t="shared" ca="1" si="11"/>
        <v>0</v>
      </c>
      <c r="E154">
        <f t="shared" ref="E154:E217" ca="1" si="12">J154*(B154*$L$1+F154)-(J154-1)*$L$3</f>
        <v>1</v>
      </c>
      <c r="F154">
        <f t="shared" ca="1" si="10"/>
        <v>0</v>
      </c>
      <c r="J154">
        <f t="shared" ca="1" si="9"/>
        <v>0</v>
      </c>
    </row>
    <row r="155" spans="1:10">
      <c r="A155" s="306">
        <v>152</v>
      </c>
      <c r="B155" s="121">
        <f t="shared" ca="1" si="11"/>
        <v>0</v>
      </c>
      <c r="E155">
        <f t="shared" ca="1" si="12"/>
        <v>1</v>
      </c>
      <c r="F155">
        <f t="shared" ca="1" si="10"/>
        <v>0</v>
      </c>
      <c r="J155">
        <f t="shared" ref="J155:J218" ca="1" si="13">IF($I$3&lt;=A155,0,1)</f>
        <v>0</v>
      </c>
    </row>
    <row r="156" spans="1:10">
      <c r="A156" s="306">
        <v>153</v>
      </c>
      <c r="B156" s="121">
        <f t="shared" ca="1" si="11"/>
        <v>0</v>
      </c>
      <c r="E156">
        <f t="shared" ca="1" si="12"/>
        <v>1</v>
      </c>
      <c r="F156">
        <f t="shared" ca="1" si="10"/>
        <v>0</v>
      </c>
      <c r="J156">
        <f t="shared" ca="1" si="13"/>
        <v>0</v>
      </c>
    </row>
    <row r="157" spans="1:10">
      <c r="A157" s="306">
        <v>154</v>
      </c>
      <c r="B157" s="121">
        <f t="shared" ca="1" si="11"/>
        <v>0</v>
      </c>
      <c r="E157">
        <f t="shared" ca="1" si="12"/>
        <v>1</v>
      </c>
      <c r="F157">
        <f t="shared" ca="1" si="10"/>
        <v>0</v>
      </c>
      <c r="J157">
        <f t="shared" ca="1" si="13"/>
        <v>0</v>
      </c>
    </row>
    <row r="158" spans="1:10">
      <c r="A158" s="306">
        <v>155</v>
      </c>
      <c r="B158" s="121">
        <f t="shared" ca="1" si="11"/>
        <v>0</v>
      </c>
      <c r="E158">
        <f t="shared" ca="1" si="12"/>
        <v>1</v>
      </c>
      <c r="F158">
        <f t="shared" ca="1" si="10"/>
        <v>0</v>
      </c>
      <c r="J158">
        <f t="shared" ca="1" si="13"/>
        <v>0</v>
      </c>
    </row>
    <row r="159" spans="1:10">
      <c r="A159" s="306">
        <v>156</v>
      </c>
      <c r="B159" s="121">
        <f t="shared" ca="1" si="11"/>
        <v>0</v>
      </c>
      <c r="E159">
        <f t="shared" ca="1" si="12"/>
        <v>1</v>
      </c>
      <c r="F159">
        <f t="shared" ca="1" si="10"/>
        <v>0</v>
      </c>
      <c r="J159">
        <f t="shared" ca="1" si="13"/>
        <v>0</v>
      </c>
    </row>
    <row r="160" spans="1:10">
      <c r="A160" s="306">
        <v>157</v>
      </c>
      <c r="B160" s="121">
        <f t="shared" ca="1" si="11"/>
        <v>0</v>
      </c>
      <c r="E160">
        <f t="shared" ca="1" si="12"/>
        <v>1</v>
      </c>
      <c r="F160">
        <f t="shared" ca="1" si="10"/>
        <v>0</v>
      </c>
      <c r="J160">
        <f t="shared" ca="1" si="13"/>
        <v>0</v>
      </c>
    </row>
    <row r="161" spans="1:10">
      <c r="A161" s="306">
        <v>158</v>
      </c>
      <c r="B161" s="121">
        <f t="shared" ca="1" si="11"/>
        <v>0</v>
      </c>
      <c r="E161">
        <f t="shared" ca="1" si="12"/>
        <v>1</v>
      </c>
      <c r="F161">
        <f t="shared" ca="1" si="10"/>
        <v>0</v>
      </c>
      <c r="J161">
        <f t="shared" ca="1" si="13"/>
        <v>0</v>
      </c>
    </row>
    <row r="162" spans="1:10">
      <c r="A162" s="306">
        <v>159</v>
      </c>
      <c r="B162" s="121">
        <f t="shared" ca="1" si="11"/>
        <v>0</v>
      </c>
      <c r="E162">
        <f t="shared" ca="1" si="12"/>
        <v>1</v>
      </c>
      <c r="F162">
        <f t="shared" ca="1" si="10"/>
        <v>0</v>
      </c>
      <c r="J162">
        <f t="shared" ca="1" si="13"/>
        <v>0</v>
      </c>
    </row>
    <row r="163" spans="1:10">
      <c r="A163" s="306">
        <v>160</v>
      </c>
      <c r="B163" s="121">
        <f t="shared" ca="1" si="11"/>
        <v>0</v>
      </c>
      <c r="E163">
        <f t="shared" ca="1" si="12"/>
        <v>1</v>
      </c>
      <c r="F163">
        <f t="shared" ca="1" si="10"/>
        <v>0</v>
      </c>
      <c r="J163">
        <f t="shared" ca="1" si="13"/>
        <v>0</v>
      </c>
    </row>
    <row r="164" spans="1:10">
      <c r="A164" s="306">
        <v>161</v>
      </c>
      <c r="B164" s="121">
        <f t="shared" ca="1" si="11"/>
        <v>0</v>
      </c>
      <c r="E164">
        <f t="shared" ca="1" si="12"/>
        <v>1</v>
      </c>
      <c r="F164">
        <f t="shared" ca="1" si="10"/>
        <v>0</v>
      </c>
      <c r="J164">
        <f t="shared" ca="1" si="13"/>
        <v>0</v>
      </c>
    </row>
    <row r="165" spans="1:10">
      <c r="A165" s="306">
        <v>162</v>
      </c>
      <c r="B165" s="121">
        <f t="shared" ca="1" si="11"/>
        <v>0</v>
      </c>
      <c r="E165">
        <f t="shared" ca="1" si="12"/>
        <v>1</v>
      </c>
      <c r="F165">
        <f t="shared" ca="1" si="10"/>
        <v>0</v>
      </c>
      <c r="J165">
        <f t="shared" ca="1" si="13"/>
        <v>0</v>
      </c>
    </row>
    <row r="166" spans="1:10">
      <c r="A166" s="306">
        <v>163</v>
      </c>
      <c r="B166" s="121">
        <f t="shared" ca="1" si="11"/>
        <v>0</v>
      </c>
      <c r="E166">
        <f t="shared" ca="1" si="12"/>
        <v>1</v>
      </c>
      <c r="F166">
        <f t="shared" ca="1" si="10"/>
        <v>0</v>
      </c>
      <c r="J166">
        <f t="shared" ca="1" si="13"/>
        <v>0</v>
      </c>
    </row>
    <row r="167" spans="1:10">
      <c r="A167" s="306">
        <v>164</v>
      </c>
      <c r="B167" s="121">
        <f t="shared" ca="1" si="11"/>
        <v>0</v>
      </c>
      <c r="E167">
        <f t="shared" ca="1" si="12"/>
        <v>1</v>
      </c>
      <c r="F167">
        <f t="shared" ca="1" si="10"/>
        <v>0</v>
      </c>
      <c r="J167">
        <f t="shared" ca="1" si="13"/>
        <v>0</v>
      </c>
    </row>
    <row r="168" spans="1:10">
      <c r="A168" s="306">
        <v>165</v>
      </c>
      <c r="B168" s="121">
        <f t="shared" ca="1" si="11"/>
        <v>0</v>
      </c>
      <c r="E168">
        <f t="shared" ca="1" si="12"/>
        <v>1</v>
      </c>
      <c r="F168">
        <f t="shared" ca="1" si="10"/>
        <v>0</v>
      </c>
      <c r="J168">
        <f t="shared" ca="1" si="13"/>
        <v>0</v>
      </c>
    </row>
    <row r="169" spans="1:10">
      <c r="A169" s="306">
        <v>166</v>
      </c>
      <c r="B169" s="121">
        <f t="shared" ca="1" si="11"/>
        <v>0</v>
      </c>
      <c r="E169">
        <f t="shared" ca="1" si="12"/>
        <v>1</v>
      </c>
      <c r="F169">
        <f t="shared" ca="1" si="10"/>
        <v>0</v>
      </c>
      <c r="J169">
        <f t="shared" ca="1" si="13"/>
        <v>0</v>
      </c>
    </row>
    <row r="170" spans="1:10">
      <c r="A170" s="306">
        <v>167</v>
      </c>
      <c r="B170" s="121">
        <f t="shared" ca="1" si="11"/>
        <v>0</v>
      </c>
      <c r="E170">
        <f t="shared" ca="1" si="12"/>
        <v>1</v>
      </c>
      <c r="F170">
        <f t="shared" ca="1" si="10"/>
        <v>0</v>
      </c>
      <c r="J170">
        <f t="shared" ca="1" si="13"/>
        <v>0</v>
      </c>
    </row>
    <row r="171" spans="1:10">
      <c r="A171" s="306">
        <v>168</v>
      </c>
      <c r="B171" s="121">
        <f t="shared" ca="1" si="11"/>
        <v>0</v>
      </c>
      <c r="E171">
        <f t="shared" ca="1" si="12"/>
        <v>1</v>
      </c>
      <c r="F171">
        <f t="shared" ca="1" si="10"/>
        <v>0</v>
      </c>
      <c r="J171">
        <f t="shared" ca="1" si="13"/>
        <v>0</v>
      </c>
    </row>
    <row r="172" spans="1:10">
      <c r="A172" s="306">
        <v>169</v>
      </c>
      <c r="B172" s="121">
        <f t="shared" ca="1" si="11"/>
        <v>0</v>
      </c>
      <c r="E172">
        <f t="shared" ca="1" si="12"/>
        <v>1</v>
      </c>
      <c r="F172">
        <f t="shared" ca="1" si="10"/>
        <v>0</v>
      </c>
      <c r="J172">
        <f t="shared" ca="1" si="13"/>
        <v>0</v>
      </c>
    </row>
    <row r="173" spans="1:10">
      <c r="A173" s="306">
        <v>170</v>
      </c>
      <c r="B173" s="121">
        <f t="shared" ca="1" si="11"/>
        <v>0</v>
      </c>
      <c r="E173">
        <f t="shared" ca="1" si="12"/>
        <v>1</v>
      </c>
      <c r="F173">
        <f t="shared" ca="1" si="10"/>
        <v>0</v>
      </c>
      <c r="J173">
        <f t="shared" ca="1" si="13"/>
        <v>0</v>
      </c>
    </row>
    <row r="174" spans="1:10">
      <c r="A174" s="306">
        <v>171</v>
      </c>
      <c r="B174" s="121">
        <f t="shared" ca="1" si="11"/>
        <v>0</v>
      </c>
      <c r="E174">
        <f t="shared" ca="1" si="12"/>
        <v>1</v>
      </c>
      <c r="F174">
        <f t="shared" ca="1" si="10"/>
        <v>0</v>
      </c>
      <c r="J174">
        <f t="shared" ca="1" si="13"/>
        <v>0</v>
      </c>
    </row>
    <row r="175" spans="1:10">
      <c r="A175" s="306">
        <v>172</v>
      </c>
      <c r="B175" s="121">
        <f t="shared" ca="1" si="11"/>
        <v>0</v>
      </c>
      <c r="E175">
        <f t="shared" ca="1" si="12"/>
        <v>1</v>
      </c>
      <c r="F175">
        <f t="shared" ca="1" si="10"/>
        <v>0</v>
      </c>
      <c r="J175">
        <f t="shared" ca="1" si="13"/>
        <v>0</v>
      </c>
    </row>
    <row r="176" spans="1:10">
      <c r="A176" s="306">
        <v>173</v>
      </c>
      <c r="B176" s="121">
        <f t="shared" ca="1" si="11"/>
        <v>0</v>
      </c>
      <c r="E176">
        <f t="shared" ca="1" si="12"/>
        <v>1</v>
      </c>
      <c r="F176">
        <f t="shared" ca="1" si="10"/>
        <v>0</v>
      </c>
      <c r="J176">
        <f t="shared" ca="1" si="13"/>
        <v>0</v>
      </c>
    </row>
    <row r="177" spans="1:10">
      <c r="A177" s="306">
        <v>174</v>
      </c>
      <c r="B177" s="121">
        <f t="shared" ca="1" si="11"/>
        <v>0</v>
      </c>
      <c r="E177">
        <f t="shared" ca="1" si="12"/>
        <v>1</v>
      </c>
      <c r="F177">
        <f t="shared" ca="1" si="10"/>
        <v>0</v>
      </c>
      <c r="J177">
        <f t="shared" ca="1" si="13"/>
        <v>0</v>
      </c>
    </row>
    <row r="178" spans="1:10">
      <c r="A178" s="306">
        <v>175</v>
      </c>
      <c r="B178" s="121">
        <f t="shared" ca="1" si="11"/>
        <v>0</v>
      </c>
      <c r="E178">
        <f t="shared" ca="1" si="12"/>
        <v>1</v>
      </c>
      <c r="F178">
        <f t="shared" ca="1" si="10"/>
        <v>0</v>
      </c>
      <c r="J178">
        <f t="shared" ca="1" si="13"/>
        <v>0</v>
      </c>
    </row>
    <row r="179" spans="1:10">
      <c r="A179" s="306">
        <v>176</v>
      </c>
      <c r="B179" s="121">
        <f t="shared" ca="1" si="11"/>
        <v>0</v>
      </c>
      <c r="E179">
        <f t="shared" ca="1" si="12"/>
        <v>1</v>
      </c>
      <c r="F179">
        <f t="shared" ca="1" si="10"/>
        <v>0</v>
      </c>
      <c r="J179">
        <f t="shared" ca="1" si="13"/>
        <v>0</v>
      </c>
    </row>
    <row r="180" spans="1:10">
      <c r="A180" s="306">
        <v>177</v>
      </c>
      <c r="B180" s="121">
        <f t="shared" ca="1" si="11"/>
        <v>0</v>
      </c>
      <c r="E180">
        <f t="shared" ca="1" si="12"/>
        <v>1</v>
      </c>
      <c r="F180">
        <f t="shared" ca="1" si="10"/>
        <v>0</v>
      </c>
      <c r="J180">
        <f t="shared" ca="1" si="13"/>
        <v>0</v>
      </c>
    </row>
    <row r="181" spans="1:10">
      <c r="A181" s="306">
        <v>178</v>
      </c>
      <c r="B181" s="121">
        <f t="shared" ca="1" si="11"/>
        <v>0</v>
      </c>
      <c r="E181">
        <f t="shared" ca="1" si="12"/>
        <v>1</v>
      </c>
      <c r="F181">
        <f t="shared" ca="1" si="10"/>
        <v>0</v>
      </c>
      <c r="J181">
        <f t="shared" ca="1" si="13"/>
        <v>0</v>
      </c>
    </row>
    <row r="182" spans="1:10">
      <c r="A182" s="306">
        <v>179</v>
      </c>
      <c r="B182" s="121">
        <f t="shared" ca="1" si="11"/>
        <v>0</v>
      </c>
      <c r="E182">
        <f t="shared" ca="1" si="12"/>
        <v>1</v>
      </c>
      <c r="F182">
        <f t="shared" ca="1" si="10"/>
        <v>0</v>
      </c>
      <c r="J182">
        <f t="shared" ca="1" si="13"/>
        <v>0</v>
      </c>
    </row>
    <row r="183" spans="1:10">
      <c r="A183" s="306">
        <v>180</v>
      </c>
      <c r="B183" s="121">
        <f t="shared" ca="1" si="11"/>
        <v>0</v>
      </c>
      <c r="E183">
        <f t="shared" ca="1" si="12"/>
        <v>1</v>
      </c>
      <c r="F183">
        <f t="shared" ca="1" si="10"/>
        <v>0</v>
      </c>
      <c r="J183">
        <f t="shared" ca="1" si="13"/>
        <v>0</v>
      </c>
    </row>
    <row r="184" spans="1:10">
      <c r="A184" s="306">
        <v>181</v>
      </c>
      <c r="B184" s="121">
        <f t="shared" ca="1" si="11"/>
        <v>0</v>
      </c>
      <c r="E184">
        <f t="shared" ca="1" si="12"/>
        <v>1</v>
      </c>
      <c r="F184">
        <f t="shared" ca="1" si="10"/>
        <v>0</v>
      </c>
      <c r="J184">
        <f t="shared" ca="1" si="13"/>
        <v>0</v>
      </c>
    </row>
    <row r="185" spans="1:10">
      <c r="A185" s="306">
        <v>182</v>
      </c>
      <c r="B185" s="121">
        <f t="shared" ca="1" si="11"/>
        <v>0</v>
      </c>
      <c r="E185">
        <f t="shared" ca="1" si="12"/>
        <v>1</v>
      </c>
      <c r="F185">
        <f t="shared" ca="1" si="10"/>
        <v>0</v>
      </c>
      <c r="J185">
        <f t="shared" ca="1" si="13"/>
        <v>0</v>
      </c>
    </row>
    <row r="186" spans="1:10">
      <c r="A186" s="306">
        <v>183</v>
      </c>
      <c r="B186" s="121">
        <f t="shared" ca="1" si="11"/>
        <v>0</v>
      </c>
      <c r="E186">
        <f t="shared" ca="1" si="12"/>
        <v>1</v>
      </c>
      <c r="F186">
        <f t="shared" ca="1" si="10"/>
        <v>0</v>
      </c>
      <c r="J186">
        <f t="shared" ca="1" si="13"/>
        <v>0</v>
      </c>
    </row>
    <row r="187" spans="1:10">
      <c r="A187" s="306">
        <v>184</v>
      </c>
      <c r="B187" s="121">
        <f t="shared" ca="1" si="11"/>
        <v>0</v>
      </c>
      <c r="E187">
        <f t="shared" ca="1" si="12"/>
        <v>1</v>
      </c>
      <c r="F187">
        <f t="shared" ca="1" si="10"/>
        <v>0</v>
      </c>
      <c r="J187">
        <f t="shared" ca="1" si="13"/>
        <v>0</v>
      </c>
    </row>
    <row r="188" spans="1:10">
      <c r="A188" s="306">
        <v>185</v>
      </c>
      <c r="B188" s="121">
        <f t="shared" ca="1" si="11"/>
        <v>0</v>
      </c>
      <c r="E188">
        <f t="shared" ca="1" si="12"/>
        <v>1</v>
      </c>
      <c r="F188">
        <f t="shared" ca="1" si="10"/>
        <v>0</v>
      </c>
      <c r="J188">
        <f t="shared" ca="1" si="13"/>
        <v>0</v>
      </c>
    </row>
    <row r="189" spans="1:10">
      <c r="A189" s="306">
        <v>186</v>
      </c>
      <c r="B189" s="121">
        <f t="shared" ca="1" si="11"/>
        <v>0</v>
      </c>
      <c r="E189">
        <f t="shared" ca="1" si="12"/>
        <v>1</v>
      </c>
      <c r="F189">
        <f t="shared" ca="1" si="10"/>
        <v>0</v>
      </c>
      <c r="J189">
        <f t="shared" ca="1" si="13"/>
        <v>0</v>
      </c>
    </row>
    <row r="190" spans="1:10">
      <c r="A190" s="306">
        <v>187</v>
      </c>
      <c r="B190" s="121">
        <f t="shared" ca="1" si="11"/>
        <v>0</v>
      </c>
      <c r="E190">
        <f t="shared" ca="1" si="12"/>
        <v>1</v>
      </c>
      <c r="F190">
        <f t="shared" ca="1" si="10"/>
        <v>0</v>
      </c>
      <c r="J190">
        <f t="shared" ca="1" si="13"/>
        <v>0</v>
      </c>
    </row>
    <row r="191" spans="1:10">
      <c r="A191" s="306">
        <v>188</v>
      </c>
      <c r="B191" s="121">
        <f t="shared" ca="1" si="11"/>
        <v>0</v>
      </c>
      <c r="E191">
        <f t="shared" ca="1" si="12"/>
        <v>1</v>
      </c>
      <c r="F191">
        <f t="shared" ca="1" si="10"/>
        <v>0</v>
      </c>
      <c r="J191">
        <f t="shared" ca="1" si="13"/>
        <v>0</v>
      </c>
    </row>
    <row r="192" spans="1:10">
      <c r="A192" s="306">
        <v>189</v>
      </c>
      <c r="B192" s="121">
        <f t="shared" ca="1" si="11"/>
        <v>0</v>
      </c>
      <c r="E192">
        <f t="shared" ca="1" si="12"/>
        <v>1</v>
      </c>
      <c r="F192">
        <f t="shared" ca="1" si="10"/>
        <v>0</v>
      </c>
      <c r="J192">
        <f t="shared" ca="1" si="13"/>
        <v>0</v>
      </c>
    </row>
    <row r="193" spans="1:10">
      <c r="A193" s="306">
        <v>190</v>
      </c>
      <c r="B193" s="121">
        <f t="shared" ca="1" si="11"/>
        <v>0</v>
      </c>
      <c r="E193">
        <f t="shared" ca="1" si="12"/>
        <v>1</v>
      </c>
      <c r="F193">
        <f t="shared" ca="1" si="10"/>
        <v>0</v>
      </c>
      <c r="J193">
        <f t="shared" ca="1" si="13"/>
        <v>0</v>
      </c>
    </row>
    <row r="194" spans="1:10">
      <c r="A194" s="306">
        <v>191</v>
      </c>
      <c r="B194" s="121">
        <f t="shared" ca="1" si="11"/>
        <v>0</v>
      </c>
      <c r="E194">
        <f t="shared" ca="1" si="12"/>
        <v>1</v>
      </c>
      <c r="F194">
        <f t="shared" ca="1" si="10"/>
        <v>0</v>
      </c>
      <c r="J194">
        <f t="shared" ca="1" si="13"/>
        <v>0</v>
      </c>
    </row>
    <row r="195" spans="1:10">
      <c r="A195" s="306">
        <v>192</v>
      </c>
      <c r="B195" s="121">
        <f t="shared" ca="1" si="11"/>
        <v>0</v>
      </c>
      <c r="E195">
        <f t="shared" ca="1" si="12"/>
        <v>1</v>
      </c>
      <c r="F195">
        <f t="shared" ca="1" si="10"/>
        <v>0</v>
      </c>
      <c r="J195">
        <f t="shared" ca="1" si="13"/>
        <v>0</v>
      </c>
    </row>
    <row r="196" spans="1:10">
      <c r="A196" s="306">
        <v>193</v>
      </c>
      <c r="B196" s="121">
        <f t="shared" ca="1" si="11"/>
        <v>0</v>
      </c>
      <c r="E196">
        <f t="shared" ca="1" si="12"/>
        <v>1</v>
      </c>
      <c r="F196">
        <f t="shared" ca="1" si="10"/>
        <v>0</v>
      </c>
      <c r="J196">
        <f t="shared" ca="1" si="13"/>
        <v>0</v>
      </c>
    </row>
    <row r="197" spans="1:10">
      <c r="A197" s="306">
        <v>194</v>
      </c>
      <c r="B197" s="121">
        <f t="shared" ca="1" si="11"/>
        <v>0</v>
      </c>
      <c r="E197">
        <f t="shared" ca="1" si="12"/>
        <v>1</v>
      </c>
      <c r="F197">
        <f t="shared" ref="F197:F259" ca="1" si="14">IF(A197&lt;$I$3,$L$2,0)</f>
        <v>0</v>
      </c>
      <c r="J197">
        <f t="shared" ca="1" si="13"/>
        <v>0</v>
      </c>
    </row>
    <row r="198" spans="1:10">
      <c r="A198" s="306">
        <v>195</v>
      </c>
      <c r="B198" s="121">
        <f t="shared" ref="B198:B259" ca="1" si="15">J198*($H$3-C198+D198)</f>
        <v>0</v>
      </c>
      <c r="E198">
        <f t="shared" ca="1" si="12"/>
        <v>1</v>
      </c>
      <c r="F198">
        <f t="shared" ca="1" si="14"/>
        <v>0</v>
      </c>
      <c r="J198">
        <f t="shared" ca="1" si="13"/>
        <v>0</v>
      </c>
    </row>
    <row r="199" spans="1:10">
      <c r="A199" s="306">
        <v>196</v>
      </c>
      <c r="B199" s="121">
        <f t="shared" ca="1" si="15"/>
        <v>0</v>
      </c>
      <c r="E199">
        <f t="shared" ca="1" si="12"/>
        <v>1</v>
      </c>
      <c r="F199">
        <f t="shared" ca="1" si="14"/>
        <v>0</v>
      </c>
      <c r="J199">
        <f t="shared" ca="1" si="13"/>
        <v>0</v>
      </c>
    </row>
    <row r="200" spans="1:10">
      <c r="A200" s="306">
        <v>197</v>
      </c>
      <c r="B200" s="121">
        <f t="shared" ca="1" si="15"/>
        <v>0</v>
      </c>
      <c r="E200">
        <f t="shared" ca="1" si="12"/>
        <v>1</v>
      </c>
      <c r="F200">
        <f t="shared" ca="1" si="14"/>
        <v>0</v>
      </c>
      <c r="J200">
        <f t="shared" ca="1" si="13"/>
        <v>0</v>
      </c>
    </row>
    <row r="201" spans="1:10">
      <c r="A201" s="306">
        <v>198</v>
      </c>
      <c r="B201" s="121">
        <f t="shared" ca="1" si="15"/>
        <v>0</v>
      </c>
      <c r="E201">
        <f t="shared" ca="1" si="12"/>
        <v>1</v>
      </c>
      <c r="F201">
        <f t="shared" ca="1" si="14"/>
        <v>0</v>
      </c>
      <c r="J201">
        <f t="shared" ca="1" si="13"/>
        <v>0</v>
      </c>
    </row>
    <row r="202" spans="1:10">
      <c r="A202" s="306">
        <v>199</v>
      </c>
      <c r="B202" s="121">
        <f t="shared" ca="1" si="15"/>
        <v>0</v>
      </c>
      <c r="E202">
        <f t="shared" ca="1" si="12"/>
        <v>1</v>
      </c>
      <c r="F202">
        <f t="shared" ca="1" si="14"/>
        <v>0</v>
      </c>
      <c r="J202">
        <f t="shared" ca="1" si="13"/>
        <v>0</v>
      </c>
    </row>
    <row r="203" spans="1:10">
      <c r="A203" s="306">
        <v>200</v>
      </c>
      <c r="B203" s="121">
        <f t="shared" ca="1" si="15"/>
        <v>0</v>
      </c>
      <c r="E203">
        <f t="shared" ca="1" si="12"/>
        <v>1</v>
      </c>
      <c r="F203">
        <f t="shared" ca="1" si="14"/>
        <v>0</v>
      </c>
      <c r="J203">
        <f t="shared" ca="1" si="13"/>
        <v>0</v>
      </c>
    </row>
    <row r="204" spans="1:10">
      <c r="A204" s="306">
        <v>201</v>
      </c>
      <c r="B204" s="121">
        <f t="shared" ca="1" si="15"/>
        <v>0</v>
      </c>
      <c r="E204">
        <f t="shared" ca="1" si="12"/>
        <v>1</v>
      </c>
      <c r="F204">
        <f t="shared" ca="1" si="14"/>
        <v>0</v>
      </c>
      <c r="J204">
        <f t="shared" ca="1" si="13"/>
        <v>0</v>
      </c>
    </row>
    <row r="205" spans="1:10">
      <c r="A205" s="306">
        <v>202</v>
      </c>
      <c r="B205" s="121">
        <f t="shared" ca="1" si="15"/>
        <v>0</v>
      </c>
      <c r="E205">
        <f t="shared" ca="1" si="12"/>
        <v>1</v>
      </c>
      <c r="F205">
        <f t="shared" ca="1" si="14"/>
        <v>0</v>
      </c>
      <c r="J205">
        <f t="shared" ca="1" si="13"/>
        <v>0</v>
      </c>
    </row>
    <row r="206" spans="1:10">
      <c r="A206" s="306">
        <v>203</v>
      </c>
      <c r="B206" s="121">
        <f t="shared" ca="1" si="15"/>
        <v>0</v>
      </c>
      <c r="E206">
        <f t="shared" ca="1" si="12"/>
        <v>1</v>
      </c>
      <c r="F206">
        <f t="shared" ca="1" si="14"/>
        <v>0</v>
      </c>
      <c r="J206">
        <f t="shared" ca="1" si="13"/>
        <v>0</v>
      </c>
    </row>
    <row r="207" spans="1:10">
      <c r="A207" s="306">
        <v>204</v>
      </c>
      <c r="B207" s="121">
        <f t="shared" ca="1" si="15"/>
        <v>0</v>
      </c>
      <c r="E207">
        <f t="shared" ca="1" si="12"/>
        <v>1</v>
      </c>
      <c r="F207">
        <f t="shared" ca="1" si="14"/>
        <v>0</v>
      </c>
      <c r="J207">
        <f t="shared" ca="1" si="13"/>
        <v>0</v>
      </c>
    </row>
    <row r="208" spans="1:10">
      <c r="A208" s="306">
        <v>205</v>
      </c>
      <c r="B208" s="121">
        <f t="shared" ca="1" si="15"/>
        <v>0</v>
      </c>
      <c r="E208">
        <f t="shared" ca="1" si="12"/>
        <v>1</v>
      </c>
      <c r="F208">
        <f t="shared" ca="1" si="14"/>
        <v>0</v>
      </c>
      <c r="J208">
        <f t="shared" ca="1" si="13"/>
        <v>0</v>
      </c>
    </row>
    <row r="209" spans="1:10">
      <c r="A209" s="306">
        <v>206</v>
      </c>
      <c r="B209" s="121">
        <f t="shared" ca="1" si="15"/>
        <v>0</v>
      </c>
      <c r="E209">
        <f t="shared" ca="1" si="12"/>
        <v>1</v>
      </c>
      <c r="F209">
        <f t="shared" ca="1" si="14"/>
        <v>0</v>
      </c>
      <c r="J209">
        <f t="shared" ca="1" si="13"/>
        <v>0</v>
      </c>
    </row>
    <row r="210" spans="1:10">
      <c r="A210" s="306">
        <v>207</v>
      </c>
      <c r="B210" s="121">
        <f t="shared" ca="1" si="15"/>
        <v>0</v>
      </c>
      <c r="E210">
        <f t="shared" ca="1" si="12"/>
        <v>1</v>
      </c>
      <c r="F210">
        <f t="shared" ca="1" si="14"/>
        <v>0</v>
      </c>
      <c r="J210">
        <f t="shared" ca="1" si="13"/>
        <v>0</v>
      </c>
    </row>
    <row r="211" spans="1:10">
      <c r="A211" s="306">
        <v>208</v>
      </c>
      <c r="B211" s="121">
        <f t="shared" ca="1" si="15"/>
        <v>0</v>
      </c>
      <c r="E211">
        <f t="shared" ca="1" si="12"/>
        <v>1</v>
      </c>
      <c r="F211">
        <f t="shared" ca="1" si="14"/>
        <v>0</v>
      </c>
      <c r="J211">
        <f t="shared" ca="1" si="13"/>
        <v>0</v>
      </c>
    </row>
    <row r="212" spans="1:10">
      <c r="A212" s="306">
        <v>209</v>
      </c>
      <c r="B212" s="121">
        <f t="shared" ca="1" si="15"/>
        <v>0</v>
      </c>
      <c r="E212">
        <f t="shared" ca="1" si="12"/>
        <v>1</v>
      </c>
      <c r="F212">
        <f t="shared" ca="1" si="14"/>
        <v>0</v>
      </c>
      <c r="J212">
        <f t="shared" ca="1" si="13"/>
        <v>0</v>
      </c>
    </row>
    <row r="213" spans="1:10">
      <c r="A213" s="306">
        <v>210</v>
      </c>
      <c r="B213" s="121">
        <f t="shared" ca="1" si="15"/>
        <v>0</v>
      </c>
      <c r="E213">
        <f t="shared" ca="1" si="12"/>
        <v>1</v>
      </c>
      <c r="F213">
        <f t="shared" ca="1" si="14"/>
        <v>0</v>
      </c>
      <c r="J213">
        <f t="shared" ca="1" si="13"/>
        <v>0</v>
      </c>
    </row>
    <row r="214" spans="1:10">
      <c r="A214" s="306">
        <v>211</v>
      </c>
      <c r="B214" s="121">
        <f t="shared" ca="1" si="15"/>
        <v>0</v>
      </c>
      <c r="E214">
        <f t="shared" ca="1" si="12"/>
        <v>1</v>
      </c>
      <c r="F214">
        <f t="shared" ca="1" si="14"/>
        <v>0</v>
      </c>
      <c r="J214">
        <f t="shared" ca="1" si="13"/>
        <v>0</v>
      </c>
    </row>
    <row r="215" spans="1:10">
      <c r="A215" s="306">
        <v>212</v>
      </c>
      <c r="B215" s="121">
        <f t="shared" ca="1" si="15"/>
        <v>0</v>
      </c>
      <c r="E215">
        <f t="shared" ca="1" si="12"/>
        <v>1</v>
      </c>
      <c r="F215">
        <f t="shared" ca="1" si="14"/>
        <v>0</v>
      </c>
      <c r="J215">
        <f t="shared" ca="1" si="13"/>
        <v>0</v>
      </c>
    </row>
    <row r="216" spans="1:10">
      <c r="A216" s="306">
        <v>213</v>
      </c>
      <c r="B216" s="121">
        <f t="shared" ca="1" si="15"/>
        <v>0</v>
      </c>
      <c r="E216">
        <f t="shared" ca="1" si="12"/>
        <v>1</v>
      </c>
      <c r="F216">
        <f t="shared" ca="1" si="14"/>
        <v>0</v>
      </c>
      <c r="J216">
        <f t="shared" ca="1" si="13"/>
        <v>0</v>
      </c>
    </row>
    <row r="217" spans="1:10">
      <c r="A217" s="306">
        <v>214</v>
      </c>
      <c r="B217" s="121">
        <f t="shared" ca="1" si="15"/>
        <v>0</v>
      </c>
      <c r="E217">
        <f t="shared" ca="1" si="12"/>
        <v>1</v>
      </c>
      <c r="F217">
        <f t="shared" ca="1" si="14"/>
        <v>0</v>
      </c>
      <c r="J217">
        <f t="shared" ca="1" si="13"/>
        <v>0</v>
      </c>
    </row>
    <row r="218" spans="1:10">
      <c r="A218" s="306">
        <v>215</v>
      </c>
      <c r="B218" s="121">
        <f t="shared" ca="1" si="15"/>
        <v>0</v>
      </c>
      <c r="E218">
        <f t="shared" ref="E218:E259" ca="1" si="16">J218*(B218*$L$1+F218)-(J218-1)*$L$3</f>
        <v>1</v>
      </c>
      <c r="F218">
        <f t="shared" ca="1" si="14"/>
        <v>0</v>
      </c>
      <c r="J218">
        <f t="shared" ca="1" si="13"/>
        <v>0</v>
      </c>
    </row>
    <row r="219" spans="1:10">
      <c r="A219" s="306">
        <v>216</v>
      </c>
      <c r="B219" s="121">
        <f t="shared" ca="1" si="15"/>
        <v>0</v>
      </c>
      <c r="E219">
        <f t="shared" ca="1" si="16"/>
        <v>1</v>
      </c>
      <c r="F219">
        <f t="shared" ca="1" si="14"/>
        <v>0</v>
      </c>
      <c r="J219">
        <f t="shared" ref="J219:J259" ca="1" si="17">IF($I$3&lt;=A219,0,1)</f>
        <v>0</v>
      </c>
    </row>
    <row r="220" spans="1:10">
      <c r="A220" s="306">
        <v>217</v>
      </c>
      <c r="B220" s="121">
        <f t="shared" ca="1" si="15"/>
        <v>0</v>
      </c>
      <c r="E220">
        <f t="shared" ca="1" si="16"/>
        <v>1</v>
      </c>
      <c r="F220">
        <f t="shared" ca="1" si="14"/>
        <v>0</v>
      </c>
      <c r="J220">
        <f t="shared" ca="1" si="17"/>
        <v>0</v>
      </c>
    </row>
    <row r="221" spans="1:10">
      <c r="A221" s="306">
        <v>218</v>
      </c>
      <c r="B221" s="121">
        <f t="shared" ca="1" si="15"/>
        <v>0</v>
      </c>
      <c r="E221">
        <f t="shared" ca="1" si="16"/>
        <v>1</v>
      </c>
      <c r="F221">
        <f t="shared" ca="1" si="14"/>
        <v>0</v>
      </c>
      <c r="J221">
        <f t="shared" ca="1" si="17"/>
        <v>0</v>
      </c>
    </row>
    <row r="222" spans="1:10">
      <c r="A222" s="306">
        <v>219</v>
      </c>
      <c r="B222" s="121">
        <f t="shared" ca="1" si="15"/>
        <v>0</v>
      </c>
      <c r="E222">
        <f t="shared" ca="1" si="16"/>
        <v>1</v>
      </c>
      <c r="F222">
        <f t="shared" ca="1" si="14"/>
        <v>0</v>
      </c>
      <c r="J222">
        <f t="shared" ca="1" si="17"/>
        <v>0</v>
      </c>
    </row>
    <row r="223" spans="1:10">
      <c r="A223" s="306">
        <v>220</v>
      </c>
      <c r="B223" s="121">
        <f t="shared" ca="1" si="15"/>
        <v>0</v>
      </c>
      <c r="E223">
        <f t="shared" ca="1" si="16"/>
        <v>1</v>
      </c>
      <c r="F223">
        <f t="shared" ca="1" si="14"/>
        <v>0</v>
      </c>
      <c r="J223">
        <f t="shared" ca="1" si="17"/>
        <v>0</v>
      </c>
    </row>
    <row r="224" spans="1:10">
      <c r="A224" s="306">
        <v>221</v>
      </c>
      <c r="B224" s="121">
        <f t="shared" ca="1" si="15"/>
        <v>0</v>
      </c>
      <c r="E224">
        <f t="shared" ca="1" si="16"/>
        <v>1</v>
      </c>
      <c r="F224">
        <f t="shared" ca="1" si="14"/>
        <v>0</v>
      </c>
      <c r="J224">
        <f t="shared" ca="1" si="17"/>
        <v>0</v>
      </c>
    </row>
    <row r="225" spans="1:10">
      <c r="A225" s="306">
        <v>222</v>
      </c>
      <c r="B225" s="121">
        <f t="shared" ca="1" si="15"/>
        <v>0</v>
      </c>
      <c r="E225">
        <f t="shared" ca="1" si="16"/>
        <v>1</v>
      </c>
      <c r="F225">
        <f t="shared" ca="1" si="14"/>
        <v>0</v>
      </c>
      <c r="J225">
        <f t="shared" ca="1" si="17"/>
        <v>0</v>
      </c>
    </row>
    <row r="226" spans="1:10">
      <c r="A226" s="306">
        <v>223</v>
      </c>
      <c r="B226" s="121">
        <f t="shared" ca="1" si="15"/>
        <v>0</v>
      </c>
      <c r="E226">
        <f t="shared" ca="1" si="16"/>
        <v>1</v>
      </c>
      <c r="F226">
        <f t="shared" ca="1" si="14"/>
        <v>0</v>
      </c>
      <c r="J226">
        <f t="shared" ca="1" si="17"/>
        <v>0</v>
      </c>
    </row>
    <row r="227" spans="1:10">
      <c r="A227" s="306">
        <v>224</v>
      </c>
      <c r="B227" s="121">
        <f t="shared" ca="1" si="15"/>
        <v>0</v>
      </c>
      <c r="E227">
        <f t="shared" ca="1" si="16"/>
        <v>1</v>
      </c>
      <c r="F227">
        <f t="shared" ca="1" si="14"/>
        <v>0</v>
      </c>
      <c r="J227">
        <f t="shared" ca="1" si="17"/>
        <v>0</v>
      </c>
    </row>
    <row r="228" spans="1:10">
      <c r="A228" s="306">
        <v>225</v>
      </c>
      <c r="B228" s="121">
        <f t="shared" ca="1" si="15"/>
        <v>0</v>
      </c>
      <c r="E228">
        <f t="shared" ca="1" si="16"/>
        <v>1</v>
      </c>
      <c r="F228">
        <f t="shared" ca="1" si="14"/>
        <v>0</v>
      </c>
      <c r="J228">
        <f t="shared" ca="1" si="17"/>
        <v>0</v>
      </c>
    </row>
    <row r="229" spans="1:10">
      <c r="A229" s="306">
        <v>226</v>
      </c>
      <c r="B229" s="121">
        <f t="shared" ca="1" si="15"/>
        <v>0</v>
      </c>
      <c r="E229">
        <f t="shared" ca="1" si="16"/>
        <v>1</v>
      </c>
      <c r="F229">
        <f t="shared" ca="1" si="14"/>
        <v>0</v>
      </c>
      <c r="J229">
        <f t="shared" ca="1" si="17"/>
        <v>0</v>
      </c>
    </row>
    <row r="230" spans="1:10">
      <c r="A230" s="306">
        <v>227</v>
      </c>
      <c r="B230" s="121">
        <f t="shared" ca="1" si="15"/>
        <v>0</v>
      </c>
      <c r="E230">
        <f t="shared" ca="1" si="16"/>
        <v>1</v>
      </c>
      <c r="F230">
        <f t="shared" ca="1" si="14"/>
        <v>0</v>
      </c>
      <c r="J230">
        <f t="shared" ca="1" si="17"/>
        <v>0</v>
      </c>
    </row>
    <row r="231" spans="1:10">
      <c r="A231" s="306">
        <v>228</v>
      </c>
      <c r="B231" s="121">
        <f t="shared" ca="1" si="15"/>
        <v>0</v>
      </c>
      <c r="E231">
        <f t="shared" ca="1" si="16"/>
        <v>1</v>
      </c>
      <c r="F231">
        <f t="shared" ca="1" si="14"/>
        <v>0</v>
      </c>
      <c r="J231">
        <f t="shared" ca="1" si="17"/>
        <v>0</v>
      </c>
    </row>
    <row r="232" spans="1:10">
      <c r="A232" s="306">
        <v>229</v>
      </c>
      <c r="B232" s="121">
        <f t="shared" ca="1" si="15"/>
        <v>0</v>
      </c>
      <c r="E232">
        <f t="shared" ca="1" si="16"/>
        <v>1</v>
      </c>
      <c r="F232">
        <f t="shared" ca="1" si="14"/>
        <v>0</v>
      </c>
      <c r="J232">
        <f t="shared" ca="1" si="17"/>
        <v>0</v>
      </c>
    </row>
    <row r="233" spans="1:10">
      <c r="A233" s="306">
        <v>230</v>
      </c>
      <c r="B233" s="121">
        <f t="shared" ca="1" si="15"/>
        <v>0</v>
      </c>
      <c r="E233">
        <f t="shared" ca="1" si="16"/>
        <v>1</v>
      </c>
      <c r="F233">
        <f t="shared" ca="1" si="14"/>
        <v>0</v>
      </c>
      <c r="J233">
        <f t="shared" ca="1" si="17"/>
        <v>0</v>
      </c>
    </row>
    <row r="234" spans="1:10">
      <c r="A234" s="306">
        <v>231</v>
      </c>
      <c r="B234" s="121">
        <f t="shared" ca="1" si="15"/>
        <v>0</v>
      </c>
      <c r="E234">
        <f t="shared" ca="1" si="16"/>
        <v>1</v>
      </c>
      <c r="F234">
        <f t="shared" ca="1" si="14"/>
        <v>0</v>
      </c>
      <c r="J234">
        <f t="shared" ca="1" si="17"/>
        <v>0</v>
      </c>
    </row>
    <row r="235" spans="1:10">
      <c r="A235" s="306">
        <v>232</v>
      </c>
      <c r="B235" s="121">
        <f t="shared" ca="1" si="15"/>
        <v>0</v>
      </c>
      <c r="E235">
        <f t="shared" ca="1" si="16"/>
        <v>1</v>
      </c>
      <c r="F235">
        <f t="shared" ca="1" si="14"/>
        <v>0</v>
      </c>
      <c r="J235">
        <f t="shared" ca="1" si="17"/>
        <v>0</v>
      </c>
    </row>
    <row r="236" spans="1:10">
      <c r="A236" s="306">
        <v>233</v>
      </c>
      <c r="B236" s="121">
        <f t="shared" ca="1" si="15"/>
        <v>0</v>
      </c>
      <c r="E236">
        <f t="shared" ca="1" si="16"/>
        <v>1</v>
      </c>
      <c r="F236">
        <f t="shared" ca="1" si="14"/>
        <v>0</v>
      </c>
      <c r="J236">
        <f t="shared" ca="1" si="17"/>
        <v>0</v>
      </c>
    </row>
    <row r="237" spans="1:10">
      <c r="A237" s="306">
        <v>234</v>
      </c>
      <c r="B237" s="121">
        <f t="shared" ca="1" si="15"/>
        <v>0</v>
      </c>
      <c r="E237">
        <f t="shared" ca="1" si="16"/>
        <v>1</v>
      </c>
      <c r="F237">
        <f t="shared" ca="1" si="14"/>
        <v>0</v>
      </c>
      <c r="J237">
        <f t="shared" ca="1" si="17"/>
        <v>0</v>
      </c>
    </row>
    <row r="238" spans="1:10">
      <c r="A238" s="306">
        <v>235</v>
      </c>
      <c r="B238" s="121">
        <f t="shared" ca="1" si="15"/>
        <v>0</v>
      </c>
      <c r="E238">
        <f t="shared" ca="1" si="16"/>
        <v>1</v>
      </c>
      <c r="F238">
        <f t="shared" ca="1" si="14"/>
        <v>0</v>
      </c>
      <c r="J238">
        <f t="shared" ca="1" si="17"/>
        <v>0</v>
      </c>
    </row>
    <row r="239" spans="1:10">
      <c r="A239" s="306">
        <v>236</v>
      </c>
      <c r="B239" s="121">
        <f t="shared" ca="1" si="15"/>
        <v>0</v>
      </c>
      <c r="E239">
        <f t="shared" ca="1" si="16"/>
        <v>1</v>
      </c>
      <c r="F239">
        <f t="shared" ca="1" si="14"/>
        <v>0</v>
      </c>
      <c r="J239">
        <f t="shared" ca="1" si="17"/>
        <v>0</v>
      </c>
    </row>
    <row r="240" spans="1:10">
      <c r="A240" s="306">
        <v>237</v>
      </c>
      <c r="B240" s="121">
        <f t="shared" ca="1" si="15"/>
        <v>0</v>
      </c>
      <c r="E240">
        <f t="shared" ca="1" si="16"/>
        <v>1</v>
      </c>
      <c r="F240">
        <f t="shared" ca="1" si="14"/>
        <v>0</v>
      </c>
      <c r="J240">
        <f t="shared" ca="1" si="17"/>
        <v>0</v>
      </c>
    </row>
    <row r="241" spans="1:10">
      <c r="A241" s="306">
        <v>238</v>
      </c>
      <c r="B241" s="121">
        <f t="shared" ca="1" si="15"/>
        <v>0</v>
      </c>
      <c r="E241">
        <f t="shared" ca="1" si="16"/>
        <v>1</v>
      </c>
      <c r="F241">
        <f t="shared" ca="1" si="14"/>
        <v>0</v>
      </c>
      <c r="J241">
        <f t="shared" ca="1" si="17"/>
        <v>0</v>
      </c>
    </row>
    <row r="242" spans="1:10">
      <c r="A242" s="306">
        <v>239</v>
      </c>
      <c r="B242" s="121">
        <f t="shared" ca="1" si="15"/>
        <v>0</v>
      </c>
      <c r="E242">
        <f t="shared" ca="1" si="16"/>
        <v>1</v>
      </c>
      <c r="F242">
        <f t="shared" ca="1" si="14"/>
        <v>0</v>
      </c>
      <c r="J242">
        <f t="shared" ca="1" si="17"/>
        <v>0</v>
      </c>
    </row>
    <row r="243" spans="1:10">
      <c r="A243" s="306">
        <v>240</v>
      </c>
      <c r="B243" s="121">
        <f t="shared" ca="1" si="15"/>
        <v>0</v>
      </c>
      <c r="E243">
        <f t="shared" ca="1" si="16"/>
        <v>1</v>
      </c>
      <c r="F243">
        <f t="shared" ca="1" si="14"/>
        <v>0</v>
      </c>
      <c r="J243">
        <f t="shared" ca="1" si="17"/>
        <v>0</v>
      </c>
    </row>
    <row r="244" spans="1:10">
      <c r="A244" s="306">
        <v>241</v>
      </c>
      <c r="B244" s="121">
        <f t="shared" ca="1" si="15"/>
        <v>0</v>
      </c>
      <c r="E244">
        <f t="shared" ca="1" si="16"/>
        <v>1</v>
      </c>
      <c r="F244">
        <f t="shared" ca="1" si="14"/>
        <v>0</v>
      </c>
      <c r="J244">
        <f t="shared" ca="1" si="17"/>
        <v>0</v>
      </c>
    </row>
    <row r="245" spans="1:10">
      <c r="A245" s="306">
        <v>242</v>
      </c>
      <c r="B245" s="121">
        <f t="shared" ca="1" si="15"/>
        <v>0</v>
      </c>
      <c r="E245">
        <f t="shared" ca="1" si="16"/>
        <v>1</v>
      </c>
      <c r="F245">
        <f t="shared" ca="1" si="14"/>
        <v>0</v>
      </c>
      <c r="J245">
        <f t="shared" ca="1" si="17"/>
        <v>0</v>
      </c>
    </row>
    <row r="246" spans="1:10">
      <c r="A246" s="306">
        <v>243</v>
      </c>
      <c r="B246" s="121">
        <f t="shared" ca="1" si="15"/>
        <v>0</v>
      </c>
      <c r="E246">
        <f t="shared" ca="1" si="16"/>
        <v>1</v>
      </c>
      <c r="F246">
        <f t="shared" ca="1" si="14"/>
        <v>0</v>
      </c>
      <c r="J246">
        <f t="shared" ca="1" si="17"/>
        <v>0</v>
      </c>
    </row>
    <row r="247" spans="1:10">
      <c r="A247" s="306">
        <v>244</v>
      </c>
      <c r="B247" s="121">
        <f t="shared" ca="1" si="15"/>
        <v>0</v>
      </c>
      <c r="E247">
        <f t="shared" ca="1" si="16"/>
        <v>1</v>
      </c>
      <c r="F247">
        <f t="shared" ca="1" si="14"/>
        <v>0</v>
      </c>
      <c r="J247">
        <f t="shared" ca="1" si="17"/>
        <v>0</v>
      </c>
    </row>
    <row r="248" spans="1:10">
      <c r="A248" s="306">
        <v>245</v>
      </c>
      <c r="B248" s="121">
        <f t="shared" ca="1" si="15"/>
        <v>0</v>
      </c>
      <c r="E248">
        <f t="shared" ca="1" si="16"/>
        <v>1</v>
      </c>
      <c r="F248">
        <f t="shared" ca="1" si="14"/>
        <v>0</v>
      </c>
      <c r="J248">
        <f t="shared" ca="1" si="17"/>
        <v>0</v>
      </c>
    </row>
    <row r="249" spans="1:10">
      <c r="A249" s="306">
        <v>246</v>
      </c>
      <c r="B249" s="121">
        <f t="shared" ca="1" si="15"/>
        <v>0</v>
      </c>
      <c r="E249">
        <f t="shared" ca="1" si="16"/>
        <v>1</v>
      </c>
      <c r="F249">
        <f t="shared" ca="1" si="14"/>
        <v>0</v>
      </c>
      <c r="J249">
        <f t="shared" ca="1" si="17"/>
        <v>0</v>
      </c>
    </row>
    <row r="250" spans="1:10">
      <c r="A250" s="306">
        <v>247</v>
      </c>
      <c r="B250" s="121">
        <f t="shared" ca="1" si="15"/>
        <v>0</v>
      </c>
      <c r="E250">
        <f t="shared" ca="1" si="16"/>
        <v>1</v>
      </c>
      <c r="F250">
        <f t="shared" ca="1" si="14"/>
        <v>0</v>
      </c>
      <c r="J250">
        <f t="shared" ca="1" si="17"/>
        <v>0</v>
      </c>
    </row>
    <row r="251" spans="1:10">
      <c r="A251" s="306">
        <v>248</v>
      </c>
      <c r="B251" s="121">
        <f t="shared" ca="1" si="15"/>
        <v>0</v>
      </c>
      <c r="E251">
        <f t="shared" ca="1" si="16"/>
        <v>1</v>
      </c>
      <c r="F251">
        <f t="shared" ca="1" si="14"/>
        <v>0</v>
      </c>
      <c r="J251">
        <f t="shared" ca="1" si="17"/>
        <v>0</v>
      </c>
    </row>
    <row r="252" spans="1:10">
      <c r="A252" s="306">
        <v>249</v>
      </c>
      <c r="B252" s="121">
        <f t="shared" ca="1" si="15"/>
        <v>0</v>
      </c>
      <c r="E252">
        <f t="shared" ca="1" si="16"/>
        <v>1</v>
      </c>
      <c r="F252">
        <f t="shared" ca="1" si="14"/>
        <v>0</v>
      </c>
      <c r="J252">
        <f t="shared" ca="1" si="17"/>
        <v>0</v>
      </c>
    </row>
    <row r="253" spans="1:10">
      <c r="A253" s="306">
        <v>250</v>
      </c>
      <c r="B253" s="121">
        <f t="shared" ca="1" si="15"/>
        <v>0</v>
      </c>
      <c r="E253">
        <f t="shared" ca="1" si="16"/>
        <v>1</v>
      </c>
      <c r="F253">
        <f t="shared" ca="1" si="14"/>
        <v>0</v>
      </c>
      <c r="J253">
        <f t="shared" ca="1" si="17"/>
        <v>0</v>
      </c>
    </row>
    <row r="254" spans="1:10">
      <c r="A254" s="306">
        <v>251</v>
      </c>
      <c r="B254" s="121">
        <f t="shared" ca="1" si="15"/>
        <v>0</v>
      </c>
      <c r="E254">
        <f t="shared" ca="1" si="16"/>
        <v>1</v>
      </c>
      <c r="F254">
        <f t="shared" ca="1" si="14"/>
        <v>0</v>
      </c>
      <c r="J254">
        <f t="shared" ca="1" si="17"/>
        <v>0</v>
      </c>
    </row>
    <row r="255" spans="1:10">
      <c r="A255" s="306">
        <v>252</v>
      </c>
      <c r="B255" s="121">
        <f t="shared" ca="1" si="15"/>
        <v>0</v>
      </c>
      <c r="E255">
        <f t="shared" ca="1" si="16"/>
        <v>1</v>
      </c>
      <c r="F255">
        <f t="shared" ca="1" si="14"/>
        <v>0</v>
      </c>
      <c r="J255">
        <f t="shared" ca="1" si="17"/>
        <v>0</v>
      </c>
    </row>
    <row r="256" spans="1:10">
      <c r="A256" s="306">
        <v>253</v>
      </c>
      <c r="B256" s="121">
        <f t="shared" ca="1" si="15"/>
        <v>0</v>
      </c>
      <c r="E256">
        <f t="shared" ca="1" si="16"/>
        <v>1</v>
      </c>
      <c r="F256">
        <f t="shared" ca="1" si="14"/>
        <v>0</v>
      </c>
      <c r="J256">
        <f t="shared" ca="1" si="17"/>
        <v>0</v>
      </c>
    </row>
    <row r="257" spans="1:10">
      <c r="A257" s="306">
        <v>254</v>
      </c>
      <c r="B257" s="121">
        <f t="shared" ca="1" si="15"/>
        <v>0</v>
      </c>
      <c r="E257">
        <f t="shared" ca="1" si="16"/>
        <v>1</v>
      </c>
      <c r="F257">
        <f t="shared" ca="1" si="14"/>
        <v>0</v>
      </c>
      <c r="J257">
        <f t="shared" ca="1" si="17"/>
        <v>0</v>
      </c>
    </row>
    <row r="258" spans="1:10">
      <c r="A258" s="306">
        <v>255</v>
      </c>
      <c r="B258" s="121">
        <f t="shared" ca="1" si="15"/>
        <v>0</v>
      </c>
      <c r="E258">
        <f t="shared" ca="1" si="16"/>
        <v>1</v>
      </c>
      <c r="F258">
        <f t="shared" ca="1" si="14"/>
        <v>0</v>
      </c>
      <c r="J258">
        <f t="shared" ca="1" si="17"/>
        <v>0</v>
      </c>
    </row>
    <row r="259" spans="1:10">
      <c r="A259" s="306">
        <v>256</v>
      </c>
      <c r="B259" s="121">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List33"/>
  <dimension ref="A1:C8"/>
  <sheetViews>
    <sheetView workbookViewId="0"/>
  </sheetViews>
  <sheetFormatPr defaultRowHeight="12"/>
  <sheetData>
    <row r="1" spans="1:3" ht="12.45" thickBot="1">
      <c r="A1" s="119" t="s">
        <v>320</v>
      </c>
      <c r="B1" s="120"/>
      <c r="C1" s="120"/>
    </row>
    <row r="2" spans="1:3" ht="12.45" thickBot="1"/>
    <row r="3" spans="1:3" ht="24.45" thickBot="1">
      <c r="A3" s="294" t="s">
        <v>318</v>
      </c>
      <c r="B3" s="295"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List55"/>
  <dimension ref="A1:C7"/>
  <sheetViews>
    <sheetView workbookViewId="0">
      <selection activeCell="A8" sqref="A8"/>
    </sheetView>
  </sheetViews>
  <sheetFormatPr defaultRowHeight="12"/>
  <cols>
    <col min="1" max="1" width="8.1640625" customWidth="1"/>
    <col min="2" max="2" width="12.25" customWidth="1"/>
    <col min="5" max="5" width="11.4140625" customWidth="1"/>
  </cols>
  <sheetData>
    <row r="1" spans="1:3" ht="12.45" thickBot="1">
      <c r="A1" s="119" t="s">
        <v>317</v>
      </c>
      <c r="B1" s="120"/>
      <c r="C1" s="120"/>
    </row>
    <row r="2" spans="1:3" ht="12.45" thickBot="1"/>
    <row r="3" spans="1:3" ht="24.45" thickBot="1">
      <c r="A3" s="294" t="s">
        <v>318</v>
      </c>
      <c r="B3" s="295"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F148"/>
  <sheetViews>
    <sheetView tabSelected="1" zoomScaleNormal="100" workbookViewId="0">
      <pane xSplit="8" ySplit="10" topLeftCell="I11" activePane="bottomRight" state="frozen"/>
      <selection sqref="A1:B1"/>
      <selection pane="topRight" sqref="A1:B1"/>
      <selection pane="bottomLeft" sqref="A1:B1"/>
      <selection pane="bottomRight" activeCell="AH11" sqref="AH11"/>
    </sheetView>
  </sheetViews>
  <sheetFormatPr defaultColWidth="9.1640625" defaultRowHeight="12"/>
  <cols>
    <col min="1" max="1" width="9" style="395" hidden="1" customWidth="1"/>
    <col min="2" max="2" width="3.83203125" style="395" hidden="1" customWidth="1"/>
    <col min="3" max="5" width="9" style="395" hidden="1" customWidth="1"/>
    <col min="6" max="6" width="24" style="395" hidden="1" customWidth="1"/>
    <col min="7" max="7" width="3.58203125" style="395" customWidth="1"/>
    <col min="8" max="9" width="9.1640625" style="395"/>
    <col min="10" max="10" width="13.4140625" style="395" customWidth="1"/>
    <col min="11" max="11" width="13.75" style="395" customWidth="1"/>
    <col min="12" max="12" width="20.4140625" style="395" customWidth="1"/>
    <col min="13" max="13" width="6.1640625" style="395" customWidth="1"/>
    <col min="14" max="14" width="6.58203125" style="395" customWidth="1"/>
    <col min="15" max="15" width="9.1640625" style="395"/>
    <col min="16" max="16" width="14.4140625" style="395" customWidth="1"/>
    <col min="17" max="17" width="11.58203125" style="395" customWidth="1"/>
    <col min="18" max="18" width="20.4140625" style="395" customWidth="1"/>
    <col min="19" max="19" width="6.1640625" style="395" customWidth="1"/>
    <col min="20" max="20" width="6.58203125" style="395" customWidth="1"/>
    <col min="21" max="21" width="9.1640625" style="395"/>
    <col min="22" max="22" width="14.4140625" style="395" customWidth="1"/>
    <col min="23" max="23" width="11.58203125" style="395" customWidth="1"/>
    <col min="24" max="24" width="20.4140625" style="395" customWidth="1"/>
    <col min="25" max="25" width="6.1640625" style="395" customWidth="1"/>
    <col min="26" max="26" width="6.58203125" style="395" customWidth="1"/>
    <col min="27" max="27" width="9.1640625" style="395"/>
    <col min="28" max="28" width="14.4140625" style="395" customWidth="1"/>
    <col min="29" max="29" width="11.58203125" style="395" customWidth="1"/>
    <col min="30" max="30" width="20.4140625" style="395" customWidth="1"/>
    <col min="31" max="31" width="6.1640625" style="395" customWidth="1"/>
    <col min="32" max="32" width="6.58203125" style="395" customWidth="1"/>
    <col min="33" max="33" width="1.4140625" style="395" customWidth="1"/>
    <col min="34" max="34" width="8.1640625" style="395" customWidth="1"/>
    <col min="35" max="37" width="8.1640625" style="395" hidden="1" customWidth="1"/>
    <col min="38" max="38" width="34.75" style="395" customWidth="1"/>
    <col min="39" max="39" width="9.1640625" style="395"/>
    <col min="40" max="40" width="7.75" style="395" customWidth="1"/>
    <col min="41" max="41" width="8.4140625" style="395" customWidth="1"/>
    <col min="42" max="42" width="7.83203125" style="395" customWidth="1"/>
    <col min="43" max="43" width="8.25" style="395" customWidth="1"/>
    <col min="44" max="16384" width="9.1640625" style="395"/>
  </cols>
  <sheetData>
    <row r="1" spans="1:58" ht="32.15" thickBot="1">
      <c r="A1" s="387"/>
      <c r="B1" s="387"/>
      <c r="C1" s="387"/>
      <c r="D1" s="387"/>
      <c r="E1" s="387"/>
      <c r="F1" s="387"/>
      <c r="G1" s="387"/>
      <c r="H1" s="388" t="s">
        <v>456</v>
      </c>
      <c r="I1" s="389" t="s">
        <v>6</v>
      </c>
      <c r="J1" s="390"/>
      <c r="K1" s="390"/>
      <c r="L1" s="390"/>
      <c r="M1" s="391"/>
      <c r="N1" s="391"/>
      <c r="O1" s="391"/>
      <c r="P1" s="391"/>
      <c r="Q1" s="387"/>
      <c r="R1" s="392" t="s">
        <v>324</v>
      </c>
      <c r="S1" s="393">
        <f ca="1">'Kvalita turnaje'!$F$1</f>
        <v>38.074437500000002</v>
      </c>
      <c r="T1" s="394"/>
      <c r="U1" s="387"/>
      <c r="V1" s="387"/>
      <c r="W1" s="387"/>
      <c r="X1" s="387"/>
      <c r="Y1" s="387"/>
      <c r="Z1" s="387"/>
      <c r="AA1" s="387"/>
      <c r="AB1" s="387"/>
      <c r="AC1" s="387"/>
      <c r="AD1" s="387"/>
      <c r="AE1" s="387"/>
      <c r="AF1" s="387"/>
      <c r="AG1" s="387"/>
      <c r="AH1" s="387"/>
      <c r="AI1" s="387"/>
      <c r="AJ1" s="387"/>
      <c r="AK1" s="387"/>
      <c r="AL1" s="387"/>
      <c r="AM1" s="387"/>
    </row>
    <row r="2" spans="1:58" ht="18" thickBot="1">
      <c r="A2" s="387"/>
      <c r="B2" s="387"/>
      <c r="C2" s="387"/>
      <c r="D2" s="387"/>
      <c r="E2" s="387"/>
      <c r="F2" s="387"/>
      <c r="G2" s="387"/>
      <c r="H2" s="396"/>
      <c r="I2" s="397" t="s">
        <v>62</v>
      </c>
      <c r="J2" s="398"/>
      <c r="K2" s="399">
        <f>IF(Internet!$E$1=0,Turnaje!A4,Internet!$E$1)</f>
        <v>24010</v>
      </c>
      <c r="M2" s="400" t="s">
        <v>321</v>
      </c>
      <c r="N2" s="401" t="str">
        <f ca="1">IF(AND(S1&gt;=40,OR(AND(K6=2,K7&gt;=48),AND(K6=3,K7&gt;=32),AND(K6=1,K7&gt;=64))),"P","R")</f>
        <v>R</v>
      </c>
      <c r="O2" s="387"/>
      <c r="P2" s="387"/>
      <c r="Q2" s="387"/>
      <c r="R2" s="392" t="s">
        <v>322</v>
      </c>
      <c r="S2" s="394">
        <f ca="1">IF(TYPE(VLOOKUP(Start.listina!N2,Bonusy!A4:B8,2,0))&gt;3,0,VLOOKUP(Start.listina!N2,Bonusy!A4:B8,2,0))</f>
        <v>0</v>
      </c>
      <c r="T2" s="394"/>
      <c r="U2" s="387"/>
      <c r="V2" s="387"/>
      <c r="W2" s="387"/>
      <c r="X2" s="387"/>
      <c r="Y2" s="387"/>
      <c r="Z2" s="387"/>
      <c r="AA2" s="387"/>
      <c r="AB2" s="387"/>
      <c r="AC2" s="387"/>
      <c r="AD2" s="387"/>
      <c r="AE2" s="387"/>
      <c r="AF2" s="387"/>
      <c r="AG2" s="387"/>
      <c r="AH2" s="387"/>
      <c r="AI2" s="387"/>
      <c r="AJ2" s="387"/>
      <c r="AK2" s="387"/>
      <c r="AL2" s="387"/>
      <c r="AM2" s="387"/>
    </row>
    <row r="3" spans="1:58" ht="17.600000000000001">
      <c r="A3" s="387"/>
      <c r="B3" s="387"/>
      <c r="C3" s="387"/>
      <c r="D3" s="387"/>
      <c r="E3" s="387"/>
      <c r="F3" s="387"/>
      <c r="G3" s="387"/>
      <c r="H3" s="396"/>
      <c r="I3" s="402" t="s">
        <v>54</v>
      </c>
      <c r="J3" s="398"/>
      <c r="K3" s="403" t="str">
        <f>IF(ISBLANK(K2)," ",VLOOKUP(K2,Turnaje!$A$1:$F$147,3,0))</f>
        <v>01.06.2024</v>
      </c>
      <c r="L3" s="387"/>
      <c r="M3" s="400" t="s">
        <v>17</v>
      </c>
      <c r="N3" s="401"/>
      <c r="O3" s="387"/>
      <c r="P3" s="387"/>
      <c r="Q3" s="387"/>
      <c r="R3" s="392" t="s">
        <v>323</v>
      </c>
      <c r="S3" s="394">
        <f ca="1">IF(TYPE(VLOOKUP(Start.listina!N2,Paušál!A4:B7,2,0))&gt;3,0,VLOOKUP(Start.listina!N2,Paušál!A4:B7,2,0))</f>
        <v>1</v>
      </c>
      <c r="T3" s="394"/>
      <c r="U3" s="387"/>
      <c r="V3" s="387"/>
      <c r="W3" s="387"/>
      <c r="X3" s="387"/>
      <c r="Y3" s="387"/>
      <c r="Z3" s="387"/>
      <c r="AA3" s="387"/>
      <c r="AB3" s="387"/>
      <c r="AC3" s="387"/>
      <c r="AD3" s="387"/>
      <c r="AE3" s="387"/>
      <c r="AF3" s="387"/>
      <c r="AG3" s="387"/>
      <c r="AH3" s="387"/>
      <c r="AI3" s="387"/>
      <c r="AJ3" s="387"/>
      <c r="AK3" s="387"/>
      <c r="AL3" s="387"/>
      <c r="AM3" s="387"/>
    </row>
    <row r="4" spans="1:58" ht="18.45" thickBot="1">
      <c r="A4" s="387"/>
      <c r="B4" s="387"/>
      <c r="C4" s="387"/>
      <c r="D4" s="387"/>
      <c r="E4" s="387"/>
      <c r="F4" s="387"/>
      <c r="G4" s="387"/>
      <c r="H4" s="396"/>
      <c r="I4" s="404" t="s">
        <v>55</v>
      </c>
      <c r="J4" s="405"/>
      <c r="K4" s="406" t="str">
        <f>IF(ISBLANK(K2)," ",VLOOKUP(K2,Turnaje!$A$1:$F$147,2,0))</f>
        <v>MČR 3x3</v>
      </c>
      <c r="L4" s="407"/>
      <c r="M4" s="407"/>
      <c r="N4" s="408"/>
      <c r="O4" s="387"/>
      <c r="P4" s="409">
        <v>1</v>
      </c>
      <c r="Q4" s="387"/>
      <c r="R4" s="392" t="s">
        <v>7</v>
      </c>
      <c r="S4" s="394">
        <f ca="1">'Počet kol'!$D$3</f>
        <v>6</v>
      </c>
      <c r="T4" s="394"/>
      <c r="U4" s="387"/>
      <c r="V4" s="387"/>
      <c r="W4" s="387"/>
      <c r="X4" s="387"/>
      <c r="Y4" s="387"/>
      <c r="Z4" s="387"/>
      <c r="AA4" s="387"/>
      <c r="AB4" s="387"/>
      <c r="AC4" s="387"/>
      <c r="AD4" s="387"/>
      <c r="AE4" s="387"/>
      <c r="AF4" s="387"/>
      <c r="AG4" s="387"/>
      <c r="AH4" s="387"/>
      <c r="AI4" s="387"/>
      <c r="AJ4" s="387"/>
      <c r="AK4" s="387"/>
      <c r="AL4" s="387"/>
      <c r="AM4" s="387"/>
    </row>
    <row r="5" spans="1:58" ht="18" customHeight="1" thickBot="1">
      <c r="A5" s="410"/>
      <c r="B5" s="410"/>
      <c r="C5" s="410"/>
      <c r="D5" s="410"/>
      <c r="E5" s="410"/>
      <c r="F5" s="410"/>
      <c r="G5" s="387"/>
      <c r="H5" s="396"/>
      <c r="I5" s="397" t="s">
        <v>56</v>
      </c>
      <c r="J5" s="411"/>
      <c r="K5" s="412" t="str">
        <f>IF(ISBLANK(K2)," ",VLOOKUP(K2,Turnaje!$A$1:$F$147,4,0))</f>
        <v>Valeč</v>
      </c>
      <c r="L5" s="413"/>
      <c r="M5" s="414"/>
      <c r="N5" s="408"/>
      <c r="O5" s="387"/>
      <c r="P5" s="482"/>
      <c r="Q5" s="387"/>
      <c r="R5" s="392" t="s">
        <v>8</v>
      </c>
      <c r="S5" s="415">
        <f>IF(M7&lt;5,3,5)*U5/60</f>
        <v>3.75</v>
      </c>
      <c r="T5" s="394" t="s">
        <v>9</v>
      </c>
      <c r="U5" s="416">
        <v>75</v>
      </c>
      <c r="V5" s="394" t="s">
        <v>10</v>
      </c>
      <c r="W5" s="387"/>
      <c r="X5" s="387"/>
      <c r="Y5" s="387"/>
      <c r="Z5" s="387"/>
      <c r="AA5" s="387"/>
      <c r="AB5" s="387"/>
      <c r="AC5" s="387"/>
      <c r="AD5" s="387"/>
      <c r="AE5" s="387"/>
      <c r="AF5" s="387"/>
      <c r="AG5" s="387"/>
      <c r="AH5" s="387"/>
      <c r="AI5" s="387"/>
      <c r="AJ5" s="387"/>
      <c r="AK5" s="387"/>
      <c r="AL5" s="387"/>
      <c r="AM5" s="387"/>
    </row>
    <row r="6" spans="1:58" ht="18.45" thickBot="1">
      <c r="A6" s="387"/>
      <c r="B6" s="387"/>
      <c r="C6" s="387"/>
      <c r="D6" s="387"/>
      <c r="E6" s="387"/>
      <c r="F6" s="417"/>
      <c r="G6" s="387"/>
      <c r="H6" s="396"/>
      <c r="I6" s="397" t="s">
        <v>68</v>
      </c>
      <c r="J6" s="411"/>
      <c r="K6" s="418">
        <f>IF(ISBLANK(K2)," ",VLOOKUP(K2,Turnaje!$A$1:$F$147,6,0))</f>
        <v>3</v>
      </c>
      <c r="L6" s="419" t="s">
        <v>11</v>
      </c>
      <c r="M6" s="420">
        <v>3</v>
      </c>
      <c r="N6" s="421">
        <f ca="1">IF(TYPE((K7-M7*N7)/M6)&gt;3,"",(K7-M7*N7)/M6)</f>
        <v>5</v>
      </c>
      <c r="O6" s="387"/>
      <c r="P6" s="387"/>
      <c r="Q6" s="387"/>
      <c r="R6" s="392" t="s">
        <v>12</v>
      </c>
      <c r="S6" s="415">
        <f ca="1">IF(S7=0,0,ROUNDUP(LOG(S7,2),0)*U5/60)</f>
        <v>6.25</v>
      </c>
      <c r="T6" s="394" t="s">
        <v>9</v>
      </c>
      <c r="U6" s="416">
        <v>1</v>
      </c>
      <c r="V6" s="394" t="s">
        <v>435</v>
      </c>
      <c r="W6" s="387"/>
      <c r="X6" s="387"/>
      <c r="Y6" s="387"/>
      <c r="Z6" s="387"/>
      <c r="AA6" s="387"/>
      <c r="AB6" s="387"/>
      <c r="AC6" s="387"/>
      <c r="AD6" s="387"/>
      <c r="AE6" s="387"/>
      <c r="AF6" s="387"/>
      <c r="AG6" s="387"/>
      <c r="AH6" s="387"/>
      <c r="AI6" s="387"/>
      <c r="AJ6" s="387"/>
      <c r="AK6" s="387"/>
      <c r="AL6" s="387"/>
      <c r="AM6" s="387"/>
    </row>
    <row r="7" spans="1:58" ht="18.899999999999999" thickTop="1" thickBot="1">
      <c r="A7" s="387"/>
      <c r="B7" s="387"/>
      <c r="C7" s="387"/>
      <c r="D7" s="387"/>
      <c r="E7" s="387"/>
      <c r="F7" s="417"/>
      <c r="G7" s="387"/>
      <c r="H7" s="396"/>
      <c r="I7" s="397" t="s">
        <v>57</v>
      </c>
      <c r="J7" s="411"/>
      <c r="K7" s="418">
        <f ca="1">SUM(B11:B138)</f>
        <v>59</v>
      </c>
      <c r="L7" s="419" t="s">
        <v>11</v>
      </c>
      <c r="M7" s="420">
        <v>4</v>
      </c>
      <c r="N7" s="422">
        <v>11</v>
      </c>
      <c r="O7" s="423">
        <f ca="1">IF(TYPE(N6+N7)&gt;3,"",N6+N7)</f>
        <v>16</v>
      </c>
      <c r="P7" s="387" t="s">
        <v>13</v>
      </c>
      <c r="Q7" s="387"/>
      <c r="R7" s="392" t="s">
        <v>14</v>
      </c>
      <c r="S7" s="394">
        <f ca="1">O7*2</f>
        <v>32</v>
      </c>
      <c r="T7" s="394" t="s">
        <v>15</v>
      </c>
      <c r="U7" s="416" t="s">
        <v>450</v>
      </c>
      <c r="V7" s="394" t="s">
        <v>451</v>
      </c>
      <c r="W7" s="387"/>
      <c r="X7" s="387"/>
      <c r="Y7" s="387"/>
      <c r="Z7" s="387"/>
      <c r="AA7" s="387"/>
      <c r="AB7" s="387"/>
      <c r="AC7" s="387"/>
      <c r="AD7" s="387"/>
      <c r="AE7" s="387"/>
      <c r="AF7" s="387"/>
      <c r="AG7" s="387"/>
      <c r="AH7" s="387"/>
      <c r="AI7" s="387"/>
      <c r="AJ7" s="387"/>
      <c r="AM7" s="387"/>
    </row>
    <row r="8" spans="1:58" ht="13.3" thickTop="1">
      <c r="A8" s="387"/>
      <c r="B8" s="387"/>
      <c r="C8" s="387"/>
      <c r="D8" s="387"/>
      <c r="E8" s="387"/>
      <c r="F8" s="417"/>
      <c r="G8" s="387"/>
      <c r="H8" s="387"/>
      <c r="I8" s="387"/>
      <c r="J8" s="424"/>
      <c r="K8" s="387"/>
      <c r="L8" s="387"/>
      <c r="M8" s="387"/>
      <c r="N8" s="387"/>
      <c r="O8" s="387"/>
      <c r="P8" s="387"/>
      <c r="Q8" s="387"/>
      <c r="R8" s="392" t="s">
        <v>16</v>
      </c>
      <c r="S8" s="394">
        <f ca="1">INT(M7/2)*N7+INT(M6/2)*N6</f>
        <v>27</v>
      </c>
      <c r="T8" s="394"/>
      <c r="U8" s="387"/>
      <c r="V8" s="387"/>
      <c r="W8" s="387"/>
      <c r="X8" s="387"/>
      <c r="Y8" s="387"/>
      <c r="Z8" s="387"/>
      <c r="AA8" s="387"/>
      <c r="AB8" s="387"/>
      <c r="AC8" s="387"/>
      <c r="AD8" s="387"/>
      <c r="AE8" s="387"/>
      <c r="AF8" s="387"/>
      <c r="AG8" s="387"/>
      <c r="AH8" s="387"/>
      <c r="AI8" s="387"/>
      <c r="AJ8" s="387"/>
      <c r="AK8" s="387"/>
      <c r="AL8" s="387"/>
      <c r="AM8" s="387"/>
    </row>
    <row r="9" spans="1:58" ht="12.45" thickBot="1">
      <c r="A9" s="387">
        <v>7</v>
      </c>
      <c r="B9" s="387"/>
      <c r="C9" s="387"/>
      <c r="D9" s="387"/>
      <c r="E9" s="387"/>
      <c r="F9" s="417"/>
      <c r="G9" s="387"/>
      <c r="H9" s="387"/>
      <c r="I9" s="425" t="s">
        <v>63</v>
      </c>
      <c r="J9" s="426" t="s">
        <v>457</v>
      </c>
      <c r="K9" s="427"/>
      <c r="L9" s="427"/>
      <c r="M9" s="427"/>
      <c r="N9" s="427"/>
      <c r="O9" s="428" t="s">
        <v>64</v>
      </c>
      <c r="P9" s="387"/>
      <c r="Q9" s="387"/>
      <c r="R9" s="387"/>
      <c r="S9" s="387"/>
      <c r="T9" s="387"/>
      <c r="U9" s="429" t="s">
        <v>65</v>
      </c>
      <c r="V9" s="387"/>
      <c r="W9" s="387"/>
      <c r="X9" s="387"/>
      <c r="Y9" s="387"/>
      <c r="Z9" s="387"/>
      <c r="AA9" s="430" t="s">
        <v>66</v>
      </c>
      <c r="AB9" s="387" t="s">
        <v>124</v>
      </c>
      <c r="AC9" s="387"/>
      <c r="AD9" s="387"/>
      <c r="AE9" s="387"/>
      <c r="AF9" s="387"/>
      <c r="AG9" s="387"/>
      <c r="AH9" s="387"/>
      <c r="AI9" s="387"/>
      <c r="AJ9" s="387"/>
      <c r="AK9" s="387"/>
      <c r="AL9" s="387"/>
      <c r="AM9" s="387"/>
    </row>
    <row r="10" spans="1:58" ht="36.450000000000003" thickBot="1">
      <c r="A10" s="410" t="s">
        <v>67</v>
      </c>
      <c r="B10" s="410" t="s">
        <v>73</v>
      </c>
      <c r="C10" s="410" t="s">
        <v>305</v>
      </c>
      <c r="D10" s="410" t="s">
        <v>69</v>
      </c>
      <c r="E10" s="410" t="s">
        <v>70</v>
      </c>
      <c r="F10" s="410" t="s">
        <v>72</v>
      </c>
      <c r="G10" s="431" t="s">
        <v>77</v>
      </c>
      <c r="H10" s="432" t="s">
        <v>71</v>
      </c>
      <c r="I10" s="433" t="s">
        <v>58</v>
      </c>
      <c r="J10" s="434" t="s">
        <v>74</v>
      </c>
      <c r="K10" s="435" t="s">
        <v>75</v>
      </c>
      <c r="L10" s="435" t="s">
        <v>60</v>
      </c>
      <c r="M10" s="435" t="s">
        <v>61</v>
      </c>
      <c r="N10" s="436" t="s">
        <v>301</v>
      </c>
      <c r="O10" s="437" t="s">
        <v>58</v>
      </c>
      <c r="P10" s="438" t="s">
        <v>75</v>
      </c>
      <c r="Q10" s="438" t="s">
        <v>59</v>
      </c>
      <c r="R10" s="438" t="s">
        <v>60</v>
      </c>
      <c r="S10" s="438" t="s">
        <v>61</v>
      </c>
      <c r="T10" s="439" t="s">
        <v>301</v>
      </c>
      <c r="U10" s="440" t="s">
        <v>58</v>
      </c>
      <c r="V10" s="441" t="s">
        <v>74</v>
      </c>
      <c r="W10" s="442" t="s">
        <v>75</v>
      </c>
      <c r="X10" s="442" t="s">
        <v>60</v>
      </c>
      <c r="Y10" s="442" t="s">
        <v>61</v>
      </c>
      <c r="Z10" s="443" t="s">
        <v>301</v>
      </c>
      <c r="AA10" s="444" t="s">
        <v>58</v>
      </c>
      <c r="AB10" s="445" t="s">
        <v>74</v>
      </c>
      <c r="AC10" s="446" t="s">
        <v>75</v>
      </c>
      <c r="AD10" s="446" t="s">
        <v>60</v>
      </c>
      <c r="AE10" s="446" t="s">
        <v>61</v>
      </c>
      <c r="AF10" s="446" t="s">
        <v>301</v>
      </c>
      <c r="AG10" s="387"/>
      <c r="AH10" s="464" t="s">
        <v>245</v>
      </c>
      <c r="AI10" s="447" t="s">
        <v>131</v>
      </c>
      <c r="AJ10" s="447" t="s">
        <v>304</v>
      </c>
      <c r="AK10" s="448" t="s">
        <v>334</v>
      </c>
      <c r="AL10" s="449" t="s">
        <v>76</v>
      </c>
      <c r="AM10" s="450" t="s">
        <v>458</v>
      </c>
      <c r="AN10" s="451" t="s">
        <v>295</v>
      </c>
      <c r="AO10" s="451" t="s">
        <v>296</v>
      </c>
      <c r="AP10" s="451" t="s">
        <v>297</v>
      </c>
      <c r="AQ10" s="451" t="s">
        <v>298</v>
      </c>
      <c r="AR10" s="451" t="s">
        <v>299</v>
      </c>
    </row>
    <row r="11" spans="1:58" ht="13.3" thickTop="1">
      <c r="A11" s="452">
        <f t="shared" ref="A11:A42" ca="1" si="0">IF(OR(LEFT(J11,1)=" ",ISBLANK(J11)),0,1)+IF(OR(LEFT(P11,1)=" ",ISBLANK(P11)),0,1)+IF(OR(LEFT(V11,1)=" ",ISBLANK(V11)),0,1)</f>
        <v>3</v>
      </c>
      <c r="B11" s="452">
        <f t="shared" ref="B11:B42" ca="1" si="1">IF(AND(TYPE(G11&lt;15),G11=FALSE),1,0)</f>
        <v>1</v>
      </c>
      <c r="C11" s="452">
        <f t="shared" ref="C11:C42" ca="1" si="2">IF(B11=0,0,N11+T11+Z11)</f>
        <v>171</v>
      </c>
      <c r="D11" s="452">
        <f t="shared" ref="D11:D42" ca="1" si="3">IF(B11=0,99999,M11+S11+Y11)</f>
        <v>11</v>
      </c>
      <c r="E11" s="387">
        <f t="shared" ref="E11:E42" ca="1" si="4">MIN(M11,S11,Y11)</f>
        <v>2</v>
      </c>
      <c r="F11" s="417" t="str">
        <f t="shared" ref="F11:F42" ca="1" si="5">CONCATENATE(IF(AND($P$4=1,H11&gt;2*$O$7),"0","9"),TEXT(B11,"0"),IF(AND($P$4=1,H11&gt;2*$O$7),"000000",TEXT(1000*C11,"000000")),IF(AND($P$4=1,H11&gt;2*$O$7),"000000",TEXT(999999-D11,"000000")),IF(AND($P$4=1,H11&gt;2*$O$7),"000000",TEXT(999999-E11,"000000")),TEXT(999999*RAND(),"000000"))</f>
        <v>91171000999988999997617912</v>
      </c>
      <c r="G11" s="453" t="b">
        <f t="shared" ref="G11:G42" ca="1" si="6">IF(OR($K$6&gt;A11,AR11&gt;0),TRUE,FALSE)</f>
        <v>0</v>
      </c>
      <c r="H11" s="454">
        <f t="shared" ref="H11:H42" si="7">ROW(H11)-10</f>
        <v>1</v>
      </c>
      <c r="I11" s="455">
        <f t="shared" ref="I11:I42" ca="1" si="8">IF(N(INDIRECT(ADDRESS(ROW() + $A$9-9 + (ROW()-11)*4,1,1,1,"Internet")))&gt;0,INDIRECT(ADDRESS(ROW() + $A$9-9 + (ROW()-11)*4,1,1,1,"Internet")),"")</f>
        <v>21774</v>
      </c>
      <c r="J11" s="456" t="str">
        <f ca="1">IF(N(I11)&gt;0,VLOOKUP(I11,Hraci!$A$1:$I$1500,2,0),IF(TYPE(INDIRECT(ADDRESS(ROW() + $A$9-9 + (ROW()-11)*4,2,1,1,"Internet")))&gt;1,INDIRECT(ADDRESS(ROW() + $A$9-9 + (ROW()-11)*4,2,1,1,"Internet"))," "))</f>
        <v>Michálek</v>
      </c>
      <c r="K11" s="457" t="str">
        <f ca="1">IF(N(I11)&gt;0,VLOOKUP(I11,Hraci!$A$1:$I$1500,3,0)," ")</f>
        <v>Tomáš</v>
      </c>
      <c r="L11" s="457" t="str">
        <f ca="1">IF(N(I11)&gt;0,VLOOKUP(I11,Hraci!$A$1:$I$1500,5,0),IF(TYPE(INDIRECT(ADDRESS(ROW() + $A$9-9 + (ROW()-11)*4,3,1,1,"Internet")))&gt;1,INDIRECT(ADDRESS(ROW() + $A$9-9 + (ROW()-11)*4,3,1,1,"Internet"))," "))</f>
        <v>Carreau Brno</v>
      </c>
      <c r="M11" s="395">
        <f ca="1">IF(N(I11)=0,9999,VLOOKUP(I11,Hraci!$A$1:$I$1500,8,0))</f>
        <v>6</v>
      </c>
      <c r="N11" s="458">
        <f ca="1">IF(N(I11)=0,0,VLOOKUP(I11,Hraci!$A$1:$I$1500,9,0))</f>
        <v>52</v>
      </c>
      <c r="O11" s="455">
        <f t="shared" ref="O11:O42" ca="1" si="9">IF(N(INDIRECT(ADDRESS(ROW() + $A$9-8 + (ROW()-11)*4,1,1,1,"Internet")))&gt;0,INDIRECT(ADDRESS(ROW() + $A$9-8 + (ROW()-11)*4,1,1,1,"Internet")),"")</f>
        <v>11039</v>
      </c>
      <c r="P11" s="456" t="str">
        <f ca="1">IF(N(O11)&gt;0,VLOOKUP(O11,Hraci!$A$1:$I$1500,2,0),IF(TYPE(INDIRECT(ADDRESS(ROW() + $A$9-8 + (ROW()-11)*4,2,1,1,"Internet")))&gt;1,INDIRECT(ADDRESS(ROW() + $A$9-8 + (ROW()-11)*4,2,1,1,"Internet"))," "))</f>
        <v>Lukáš</v>
      </c>
      <c r="Q11" s="457" t="str">
        <f ca="1">IF(N(O11)&gt;0,VLOOKUP(O11,Hraci!$A$1:$I$1500,3,0)," ")</f>
        <v>Vojtěch</v>
      </c>
      <c r="R11" s="457" t="str">
        <f ca="1">IF(N(O11)&gt;0,VLOOKUP(O11,Hraci!$A$1:$I$1500,5,0),IF(TYPE(INDIRECT(ADDRESS(ROW() + $A$9-8 + (ROW()-11)*4,3,1,1,"Internet")))&gt;1,INDIRECT(ADDRESS(ROW() + $A$9-8 + (ROW()-11)*4,3,1,1,"Internet"))," "))</f>
        <v>PLUK Jablonec</v>
      </c>
      <c r="S11" s="395">
        <f ca="1">IF(N(O11)=0,9999,VLOOKUP(O11,Hraci!$A$1:$I$1500,8,0))</f>
        <v>3</v>
      </c>
      <c r="T11" s="458">
        <f ca="1">IF(N(O11)=0,0,VLOOKUP(O11,Hraci!$A$1:$I$1500,9,0))</f>
        <v>58</v>
      </c>
      <c r="U11" s="455">
        <f t="shared" ref="U11:U42" ca="1" si="10">IF(N(INDIRECT(ADDRESS(ROW() + $A$9-7 + (ROW()-11)*4,1,1,1,"Internet")))&gt;0,INDIRECT(ADDRESS(ROW() + $A$9-7 + (ROW()-11)*4,1,1,1,"Internet")),"")</f>
        <v>29062</v>
      </c>
      <c r="V11" s="456" t="str">
        <f ca="1">IF(N(U11)&gt;0,VLOOKUP(U11,Hraci!$A$1:$I$1500,2,0),IF(TYPE(INDIRECT(ADDRESS(ROW() + $A$9-7 + (ROW()-11)*4,2,1,1,"Internet")))&gt;1,INDIRECT(ADDRESS(ROW() + $A$9-7 + (ROW()-11)*4,2,1,1,"Internet"))," "))</f>
        <v>Vavrovič ml.</v>
      </c>
      <c r="W11" s="457" t="str">
        <f ca="1">IF(N(U11)&gt;0,VLOOKUP(U11,Hraci!$A$1:$I$1500,3,0)," ")</f>
        <v>Petr</v>
      </c>
      <c r="X11" s="457" t="str">
        <f ca="1">IF(N(U11)&gt;0,VLOOKUP(U11,Hraci!$A$1:$I$1500,5,0),IF(TYPE(INDIRECT(ADDRESS(ROW() + $A$9-7 + (ROW()-11)*4,3,1,1,"Internet")))&gt;1,INDIRECT(ADDRESS(ROW() + $A$9-7 + (ROW()-11)*4,3,1,1,"Internet"))," "))</f>
        <v>PC Sokol Lipník</v>
      </c>
      <c r="Y11" s="395">
        <f ca="1">IF(N(U11)=0,9999,VLOOKUP(U11,Hraci!$A$1:$I$1500,8,0))</f>
        <v>2</v>
      </c>
      <c r="Z11" s="458">
        <f ca="1">IF(N(U11)=0,0,VLOOKUP(U11,Hraci!$A$1:$I$1500,9,0))</f>
        <v>61</v>
      </c>
      <c r="AA11" s="455" t="str">
        <f t="shared" ref="AA11:AA42" ca="1" si="11">IF(N(INDIRECT(ADDRESS(ROW() + $A$9-6 + (ROW()-11)*4,1,1,1,"Internet")))&gt;0,INDIRECT(ADDRESS(ROW() + $A$9-6 + (ROW()-11)*4,1,1,1,"Internet")),"")</f>
        <v/>
      </c>
      <c r="AB11" s="456" t="str">
        <f ca="1">IF(N(AA11)&gt;0,VLOOKUP(AA11,Hraci!$A$1:$I$1500,2,0)," ")</f>
        <v xml:space="preserve"> </v>
      </c>
      <c r="AC11" s="457" t="str">
        <f ca="1">IF(N(AA11)&gt;0,VLOOKUP(AA11,Hraci!$A$1:$I$1500,3,0)," ")</f>
        <v xml:space="preserve"> </v>
      </c>
      <c r="AD11" s="457" t="str">
        <f ca="1">IF(N(AA11)&gt;0,VLOOKUP(AA11,Hraci!$A$1:$I$1500,5,0)," ")</f>
        <v xml:space="preserve"> </v>
      </c>
      <c r="AE11" s="395">
        <f ca="1">IF(N(AA11)=0,9999,VLOOKUP(AA11,Hraci!$A$1:$I$1500,8,0))</f>
        <v>9999</v>
      </c>
      <c r="AF11" s="458">
        <f ca="1">IF(N(AA11)=0,0,VLOOKUP(AA11,Hraci!$A$1:$I$1500,9,0))</f>
        <v>0</v>
      </c>
      <c r="AG11" s="459"/>
      <c r="AH11" s="465">
        <f ca="1">IF(TYPE(VLOOKUP(H11,Nasazení!$A$3:$E$130,5,0))&lt;4,VLOOKUP(H11,Nasazení!$A$3:$E$130,5,0),0)</f>
        <v>1</v>
      </c>
      <c r="AI11" s="460">
        <f ca="1">IF(N($AH11)&gt;0,VLOOKUP($AH11,Body!$A$4:$F$259,5,0),"")</f>
        <v>228.44662500000001</v>
      </c>
      <c r="AJ11" s="461">
        <f ca="1">IF(N($AH11)&gt;0,VLOOKUP($AH11,Body!$A$4:$F$259,6,0),"")</f>
        <v>0</v>
      </c>
      <c r="AK11" s="460">
        <f ca="1">IF(N($AH11)&gt;0,VLOOKUP($AH11,Body!$A$4:$F$259,2,0),"")</f>
        <v>6</v>
      </c>
      <c r="AL11" s="462" t="str">
        <f t="shared" ref="AL11:AL42" ca="1" si="12">IF(N(H11)&gt;$K$7,"",CONCATENATE(IF($U$7="","",H11&amp;" "),L11,IF(L11="",""," - "),J11," ",K11))</f>
        <v>1 Carreau Brno - Michálek Tomáš</v>
      </c>
      <c r="AM11" s="463">
        <f t="shared" ref="AM11:AM42" ca="1" si="13">C11</f>
        <v>171</v>
      </c>
      <c r="AN11" s="395">
        <f ca="1">IF(OR(TYPE(I11)&gt;1,TYPE(MATCH(I11,I12:I$139,0))&gt;1),0,MATCH(I11,I12:I$139,0))+IF(OR(TYPE(I11)&gt;1,TYPE(MATCH(I11,O$11:O$139,0))&gt;1),0,MATCH(I11,O$11:O$139,0))+IF(OR(TYPE(I11)&gt;1,TYPE(MATCH(I11,U$11:U$139,0))&gt;1),0,MATCH(I11,U$11:U$139,0))+IF(OR(TYPE(I11)&gt;1,TYPE(MATCH(I11,AA$11:AA$139,0))&gt;1),0,MATCH(I11,AA$11:AA$139,0))</f>
        <v>0</v>
      </c>
      <c r="AO11" s="395">
        <f ca="1">IF(OR(TYPE(O11)&gt;1,TYPE(MATCH(O11,I$11:I$139,0))&gt;1),0,MATCH(O11,I$11:I$139,0))+IF(OR(TYPE(O11)&gt;1,TYPE(MATCH(O11,O12:O$139,0))&gt;1),0,MATCH(O11,O12:O$139,0))+IF(OR(TYPE(O11)&gt;1,TYPE(MATCH(O11,U$11:U$139,0))&gt;1),0,MATCH(O11,U$11:U$139,0))+IF(OR(TYPE(O11)&gt;1,TYPE(MATCH(O11,AA$11:AA$139,0))&gt;1),0,MATCH(O11,AA$11:AA$139,0))</f>
        <v>0</v>
      </c>
      <c r="AP11" s="395">
        <f ca="1">IF(OR(TYPE(U11)&gt;1,TYPE(MATCH(U11,I$11:I$139,0))&gt;1),0,MATCH(U11,I$11:I$139,0))+IF(OR(TYPE(U11)&gt;1,TYPE(MATCH(U11,O$11:O$139,0))&gt;1),0,MATCH(U11,O$11:O$139,0))+IF(OR(TYPE(U11)&gt;1,TYPE(MATCH(U11,U12:U$139,0))&gt;1),0,MATCH(U11,U12:U$139,0))+IF(OR(TYPE(U11)&gt;1,TYPE(MATCH(U11,AA$11:AA$139,0))&gt;1),0,MATCH(U11,AA$11:AA$139,0))</f>
        <v>0</v>
      </c>
      <c r="AQ11" s="395">
        <f ca="1">IF(OR(TYPE(AA11)&gt;1,TYPE(MATCH(AA11,I$11:I$139,0))&gt;1),0,MATCH(AA11,I$11:I$139,0))+IF(OR(TYPE(AA11)&gt;1,TYPE(MATCH(AA11,O$11:O$139,0))&gt;1),0,MATCH(AA11,O$11:O$139,0))+IF(OR(TYPE(AA11)&gt;1,TYPE(MATCH(AA11,U$11:U$139,0))&gt;1),0,MATCH(U11,U$11:U$139,0))+IF(OR(TYPE(AA11)&gt;1,TYPE(MATCH(AA11,AA12:AA$139,0))&gt;1),0,MATCH(AA11,AA12:AA$139,0))</f>
        <v>0</v>
      </c>
      <c r="AR11" s="395">
        <f ca="1">SUM(AN11:AQ11)</f>
        <v>0</v>
      </c>
      <c r="BF11" s="395">
        <f>H11</f>
        <v>1</v>
      </c>
    </row>
    <row r="12" spans="1:58" ht="12.9">
      <c r="A12" s="387">
        <f t="shared" ca="1" si="0"/>
        <v>3</v>
      </c>
      <c r="B12" s="387">
        <f t="shared" ca="1" si="1"/>
        <v>1</v>
      </c>
      <c r="C12" s="387">
        <f t="shared" ca="1" si="2"/>
        <v>143.125</v>
      </c>
      <c r="D12" s="387">
        <f t="shared" ca="1" si="3"/>
        <v>39</v>
      </c>
      <c r="E12" s="387">
        <f t="shared" ca="1" si="4"/>
        <v>10</v>
      </c>
      <c r="F12" s="417" t="str">
        <f t="shared" ca="1" si="5"/>
        <v>91143125999960999989174319</v>
      </c>
      <c r="G12" s="453" t="b">
        <f t="shared" ca="1" si="6"/>
        <v>0</v>
      </c>
      <c r="H12" s="454">
        <f t="shared" si="7"/>
        <v>2</v>
      </c>
      <c r="I12" s="455">
        <f t="shared" ca="1" si="8"/>
        <v>14075</v>
      </c>
      <c r="J12" s="456" t="str">
        <f ca="1">IF(N(I12)&gt;0,VLOOKUP(I12,Hraci!$A$1:$I$1500,2,0),IF(TYPE(INDIRECT(ADDRESS(ROW() + $A$9-9 + (ROW()-11)*4,2,1,1,"Internet")))&gt;1,INDIRECT(ADDRESS(ROW() + $A$9-9 + (ROW()-11)*4,2,1,1,"Internet"))," "))</f>
        <v>Froňková</v>
      </c>
      <c r="K12" s="457" t="str">
        <f ca="1">IF(N(I12)&gt;0,VLOOKUP(I12,Hraci!$A$1:$I$1500,3,0)," ")</f>
        <v>Kateřina</v>
      </c>
      <c r="L12" s="457" t="str">
        <f ca="1">IF(N(I12)&gt;0,VLOOKUP(I12,Hraci!$A$1:$I$1500,5,0),IF(TYPE(INDIRECT(ADDRESS(ROW() + $A$9-9 + (ROW()-11)*4,3,1,1,"Internet")))&gt;1,INDIRECT(ADDRESS(ROW() + $A$9-9 + (ROW()-11)*4,3,1,1,"Internet"))," "))</f>
        <v>PC Sokol Lipník</v>
      </c>
      <c r="M12" s="395">
        <f ca="1">IF(N(I12)=0,9999,VLOOKUP(I12,Hraci!$A$1:$I$1500,8,0))</f>
        <v>10</v>
      </c>
      <c r="N12" s="458">
        <f ca="1">IF(N(I12)=0,0,VLOOKUP(I12,Hraci!$A$1:$I$1500,9,0))</f>
        <v>52</v>
      </c>
      <c r="O12" s="455">
        <f t="shared" ca="1" si="9"/>
        <v>15058</v>
      </c>
      <c r="P12" s="456" t="str">
        <f ca="1">IF(N(O12)&gt;0,VLOOKUP(O12,Hraci!$A$1:$I$1500,2,0),IF(TYPE(INDIRECT(ADDRESS(ROW() + $A$9-8 + (ROW()-11)*4,2,1,1,"Internet")))&gt;1,INDIRECT(ADDRESS(ROW() + $A$9-8 + (ROW()-11)*4,2,1,1,"Internet"))," "))</f>
        <v>Zdobinský</v>
      </c>
      <c r="Q12" s="457" t="str">
        <f ca="1">IF(N(O12)&gt;0,VLOOKUP(O12,Hraci!$A$1:$I$1500,3,0)," ")</f>
        <v>Michal</v>
      </c>
      <c r="R12" s="457" t="str">
        <f ca="1">IF(N(O12)&gt;0,VLOOKUP(O12,Hraci!$A$1:$I$1500,5,0),IF(TYPE(INDIRECT(ADDRESS(ROW() + $A$9-8 + (ROW()-11)*4,3,1,1,"Internet")))&gt;1,INDIRECT(ADDRESS(ROW() + $A$9-8 + (ROW()-11)*4,3,1,1,"Internet"))," "))</f>
        <v>PC Sokol Lipník</v>
      </c>
      <c r="S12" s="395">
        <f ca="1">IF(N(O12)=0,9999,VLOOKUP(O12,Hraci!$A$1:$I$1500,8,0))</f>
        <v>17</v>
      </c>
      <c r="T12" s="458">
        <f ca="1">IF(N(O12)=0,0,VLOOKUP(O12,Hraci!$A$1:$I$1500,9,0))</f>
        <v>40.625</v>
      </c>
      <c r="U12" s="455">
        <f t="shared" ca="1" si="10"/>
        <v>13064</v>
      </c>
      <c r="V12" s="456" t="str">
        <f ca="1">IF(N(U12)&gt;0,VLOOKUP(U12,Hraci!$A$1:$I$1500,2,0),IF(TYPE(INDIRECT(ADDRESS(ROW() + $A$9-7 + (ROW()-11)*4,2,1,1,"Internet")))&gt;1,INDIRECT(ADDRESS(ROW() + $A$9-7 + (ROW()-11)*4,2,1,1,"Internet"))," "))</f>
        <v>Michalička</v>
      </c>
      <c r="W12" s="457" t="str">
        <f ca="1">IF(N(U12)&gt;0,VLOOKUP(U12,Hraci!$A$1:$I$1500,3,0)," ")</f>
        <v>Lukáš</v>
      </c>
      <c r="X12" s="457" t="str">
        <f ca="1">IF(N(U12)&gt;0,VLOOKUP(U12,Hraci!$A$1:$I$1500,5,0),IF(TYPE(INDIRECT(ADDRESS(ROW() + $A$9-7 + (ROW()-11)*4,3,1,1,"Internet")))&gt;1,INDIRECT(ADDRESS(ROW() + $A$9-7 + (ROW()-11)*4,3,1,1,"Internet"))," "))</f>
        <v>1. KPK Vrchlabí</v>
      </c>
      <c r="Y12" s="395">
        <f ca="1">IF(N(U12)=0,9999,VLOOKUP(U12,Hraci!$A$1:$I$1500,8,0))</f>
        <v>12</v>
      </c>
      <c r="Z12" s="458">
        <f ca="1">IF(N(U12)=0,0,VLOOKUP(U12,Hraci!$A$1:$I$1500,9,0))</f>
        <v>50.5</v>
      </c>
      <c r="AA12" s="455" t="str">
        <f t="shared" ca="1" si="11"/>
        <v/>
      </c>
      <c r="AB12" s="456" t="str">
        <f ca="1">IF(N(AA12)&gt;0,VLOOKUP(AA12,Hraci!$A$1:$I$1500,2,0)," ")</f>
        <v xml:space="preserve"> </v>
      </c>
      <c r="AC12" s="457" t="str">
        <f ca="1">IF(N(AA12)&gt;0,VLOOKUP(AA12,Hraci!$A$1:$I$1500,3,0)," ")</f>
        <v xml:space="preserve"> </v>
      </c>
      <c r="AD12" s="457" t="str">
        <f ca="1">IF(N(AA12)&gt;0,VLOOKUP(AA12,Hraci!$A$1:$I$1500,5,0)," ")</f>
        <v xml:space="preserve"> </v>
      </c>
      <c r="AE12" s="395">
        <f ca="1">IF(N(AA12)=0,9999,VLOOKUP(AA12,Hraci!$A$1:$I$1500,8,0))</f>
        <v>9999</v>
      </c>
      <c r="AF12" s="458">
        <f ca="1">IF(N(AA12)=0,0,VLOOKUP(AA12,Hraci!$A$1:$I$1500,9,0))</f>
        <v>0</v>
      </c>
      <c r="AG12" s="459"/>
      <c r="AH12" s="465">
        <f ca="1">IF(TYPE(VLOOKUP(H12,Nasazení!$A$3:$E$130,5,0))&lt;4,VLOOKUP(H12,Nasazení!$A$3:$E$130,5,0),0)</f>
        <v>14</v>
      </c>
      <c r="AI12" s="460">
        <f ca="1">IF(N($AH12)&gt;0,VLOOKUP($AH12,Body!$A$4:$F$259,5,0),"")</f>
        <v>85.667484375000001</v>
      </c>
      <c r="AJ12" s="461">
        <f ca="1">IF(N($AH12)&gt;0,VLOOKUP($AH12,Body!$A$4:$F$259,6,0),"")</f>
        <v>0</v>
      </c>
      <c r="AK12" s="460">
        <f ca="1">IF(N($AH12)&gt;0,VLOOKUP($AH12,Body!$A$4:$F$259,2,0),"")</f>
        <v>2.25</v>
      </c>
      <c r="AL12" s="462" t="str">
        <f t="shared" ca="1" si="12"/>
        <v>2 PC Sokol Lipník - Froňková Kateřina</v>
      </c>
      <c r="AM12" s="463">
        <f t="shared" ca="1" si="13"/>
        <v>143.125</v>
      </c>
      <c r="AN12" s="395">
        <f ca="1">IF(OR(TYPE(I12)&gt;1,TYPE(MATCH(I12,I13:I$139,0))&gt;1),0,MATCH(I12,I13:I$139,0))+IF(OR(TYPE(I12)&gt;1,TYPE(MATCH(I12,O$11:O$139,0))&gt;1),0,MATCH(I12,O$11:O$139,0))+IF(OR(TYPE(I12)&gt;1,TYPE(MATCH(I12,U$11:U$139,0))&gt;1),0,MATCH(I12,U$11:U$139,0))+IF(OR(TYPE(I12)&gt;1,TYPE(MATCH(I12,AA$11:AA$139,0))&gt;1),0,MATCH(I12,AA$11:AA$139,0))</f>
        <v>0</v>
      </c>
      <c r="AO12" s="395">
        <f ca="1">IF(OR(TYPE(O12)&gt;1,TYPE(MATCH(O12,I$11:I$139,0))&gt;1),0,MATCH(O12,I$11:I$139,0))+IF(OR(TYPE(O12)&gt;1,TYPE(MATCH(O12,O13:O$139,0))&gt;1),0,MATCH(O12,O13:O$139,0))+IF(OR(TYPE(O12)&gt;1,TYPE(MATCH(O12,U$11:U$139,0))&gt;1),0,MATCH(O12,U$11:U$139,0))+IF(OR(TYPE(O12)&gt;1,TYPE(MATCH(O12,AA$11:AA$139,0))&gt;1),0,MATCH(O12,AA$11:AA$139,0))</f>
        <v>0</v>
      </c>
      <c r="AP12" s="395">
        <f ca="1">IF(OR(TYPE(U12)&gt;1,TYPE(MATCH(U12,I$11:I$139,0))&gt;1),0,MATCH(U12,I$11:I$139,0))+IF(OR(TYPE(U12)&gt;1,TYPE(MATCH(U12,O$11:O$139,0))&gt;1),0,MATCH(U12,O$11:O$139,0))+IF(OR(TYPE(U12)&gt;1,TYPE(MATCH(U12,U13:U$139,0))&gt;1),0,MATCH(U12,U13:U$139,0))+IF(OR(TYPE(U12)&gt;1,TYPE(MATCH(U12,AA$11:AA$139,0))&gt;1),0,MATCH(U12,AA$11:AA$139,0))</f>
        <v>0</v>
      </c>
      <c r="AQ12" s="395">
        <f ca="1">IF(OR(TYPE(AA12)&gt;1,TYPE(MATCH(AA12,I$11:I$139,0))&gt;1),0,MATCH(AA12,I$11:I$139,0))+IF(OR(TYPE(AA12)&gt;1,TYPE(MATCH(AA12,O$11:O$139,0))&gt;1),0,MATCH(AA12,O$11:O$139,0))+IF(OR(TYPE(AA12)&gt;1,TYPE(MATCH(AA12,U$11:U$139,0))&gt;1),0,MATCH(U12,U$11:U$139,0))+IF(OR(TYPE(AA12)&gt;1,TYPE(MATCH(AA12,AA13:AA$139,0))&gt;1),0,MATCH(AA12,AA13:AA$139,0))</f>
        <v>0</v>
      </c>
      <c r="AR12" s="395">
        <f t="shared" ref="AR12:AR75" ca="1" si="14">SUM(AN12:AQ12)</f>
        <v>0</v>
      </c>
      <c r="BF12" s="395">
        <f t="shared" ref="BF12:BF75" si="15">H12</f>
        <v>2</v>
      </c>
    </row>
    <row r="13" spans="1:58" ht="12.9">
      <c r="A13" s="387">
        <f t="shared" ca="1" si="0"/>
        <v>3</v>
      </c>
      <c r="B13" s="387">
        <f t="shared" ca="1" si="1"/>
        <v>1</v>
      </c>
      <c r="C13" s="387">
        <f t="shared" ca="1" si="2"/>
        <v>135.31299999999999</v>
      </c>
      <c r="D13" s="387">
        <f t="shared" ca="1" si="3"/>
        <v>42</v>
      </c>
      <c r="E13" s="387">
        <f t="shared" ca="1" si="4"/>
        <v>1</v>
      </c>
      <c r="F13" s="417" t="str">
        <f t="shared" ca="1" si="5"/>
        <v>91135313999957999998699315</v>
      </c>
      <c r="G13" s="453" t="b">
        <f t="shared" ca="1" si="6"/>
        <v>0</v>
      </c>
      <c r="H13" s="454">
        <f t="shared" si="7"/>
        <v>3</v>
      </c>
      <c r="I13" s="455">
        <f t="shared" ca="1" si="8"/>
        <v>26075</v>
      </c>
      <c r="J13" s="456" t="str">
        <f ca="1">IF(N(I13)&gt;0,VLOOKUP(I13,Hraci!$A$1:$I$1500,2,0),IF(TYPE(INDIRECT(ADDRESS(ROW() + $A$9-9 + (ROW()-11)*4,2,1,1,"Internet")))&gt;1,INDIRECT(ADDRESS(ROW() + $A$9-9 + (ROW()-11)*4,2,1,1,"Internet"))," "))</f>
        <v>Konšel</v>
      </c>
      <c r="K13" s="457" t="str">
        <f ca="1">IF(N(I13)&gt;0,VLOOKUP(I13,Hraci!$A$1:$I$1500,3,0)," ")</f>
        <v>Jakub</v>
      </c>
      <c r="L13" s="457" t="str">
        <f ca="1">IF(N(I13)&gt;0,VLOOKUP(I13,Hraci!$A$1:$I$1500,5,0),IF(TYPE(INDIRECT(ADDRESS(ROW() + $A$9-9 + (ROW()-11)*4,3,1,1,"Internet")))&gt;1,INDIRECT(ADDRESS(ROW() + $A$9-9 + (ROW()-11)*4,3,1,1,"Internet"))," "))</f>
        <v>PC Sokol Lipník</v>
      </c>
      <c r="M13" s="395">
        <f ca="1">IF(N(I13)=0,9999,VLOOKUP(I13,Hraci!$A$1:$I$1500,8,0))</f>
        <v>34</v>
      </c>
      <c r="N13" s="458">
        <f ca="1">IF(N(I13)=0,0,VLOOKUP(I13,Hraci!$A$1:$I$1500,9,0))</f>
        <v>34.375</v>
      </c>
      <c r="O13" s="455">
        <f t="shared" ca="1" si="9"/>
        <v>99532</v>
      </c>
      <c r="P13" s="456" t="str">
        <f ca="1">IF(N(O13)&gt;0,VLOOKUP(O13,Hraci!$A$1:$I$1500,2,0),IF(TYPE(INDIRECT(ADDRESS(ROW() + $A$9-8 + (ROW()-11)*4,2,1,1,"Internet")))&gt;1,INDIRECT(ADDRESS(ROW() + $A$9-8 + (ROW()-11)*4,2,1,1,"Internet"))," "))</f>
        <v>Michálek</v>
      </c>
      <c r="Q13" s="457" t="str">
        <f ca="1">IF(N(O13)&gt;0,VLOOKUP(O13,Hraci!$A$1:$I$1500,3,0)," ")</f>
        <v>Ivo</v>
      </c>
      <c r="R13" s="457" t="str">
        <f ca="1">IF(N(O13)&gt;0,VLOOKUP(O13,Hraci!$A$1:$I$1500,5,0),IF(TYPE(INDIRECT(ADDRESS(ROW() + $A$9-8 + (ROW()-11)*4,3,1,1,"Internet")))&gt;1,INDIRECT(ADDRESS(ROW() + $A$9-8 + (ROW()-11)*4,3,1,1,"Internet"))," "))</f>
        <v>Carreau Brno</v>
      </c>
      <c r="S13" s="395">
        <f ca="1">IF(N(O13)=0,9999,VLOOKUP(O13,Hraci!$A$1:$I$1500,8,0))</f>
        <v>1</v>
      </c>
      <c r="T13" s="458">
        <f ca="1">IF(N(O13)=0,0,VLOOKUP(O13,Hraci!$A$1:$I$1500,9,0))</f>
        <v>58</v>
      </c>
      <c r="U13" s="455">
        <f t="shared" ca="1" si="10"/>
        <v>21775</v>
      </c>
      <c r="V13" s="456" t="str">
        <f ca="1">IF(N(U13)&gt;0,VLOOKUP(U13,Hraci!$A$1:$I$1500,2,0),IF(TYPE(INDIRECT(ADDRESS(ROW() + $A$9-7 + (ROW()-11)*4,2,1,1,"Internet")))&gt;1,INDIRECT(ADDRESS(ROW() + $A$9-7 + (ROW()-11)*4,2,1,1,"Internet"))," "))</f>
        <v>Michálek</v>
      </c>
      <c r="W13" s="457" t="str">
        <f ca="1">IF(N(U13)&gt;0,VLOOKUP(U13,Hraci!$A$1:$I$1500,3,0)," ")</f>
        <v>Jan</v>
      </c>
      <c r="X13" s="457" t="str">
        <f ca="1">IF(N(U13)&gt;0,VLOOKUP(U13,Hraci!$A$1:$I$1500,5,0),IF(TYPE(INDIRECT(ADDRESS(ROW() + $A$9-7 + (ROW()-11)*4,3,1,1,"Internet")))&gt;1,INDIRECT(ADDRESS(ROW() + $A$9-7 + (ROW()-11)*4,3,1,1,"Internet"))," "))</f>
        <v>Carreau Brno</v>
      </c>
      <c r="Y13" s="395">
        <f ca="1">IF(N(U13)=0,9999,VLOOKUP(U13,Hraci!$A$1:$I$1500,8,0))</f>
        <v>7</v>
      </c>
      <c r="Z13" s="458">
        <f ca="1">IF(N(U13)=0,0,VLOOKUP(U13,Hraci!$A$1:$I$1500,9,0))</f>
        <v>42.938000000000002</v>
      </c>
      <c r="AA13" s="455" t="str">
        <f t="shared" ca="1" si="11"/>
        <v/>
      </c>
      <c r="AB13" s="456" t="str">
        <f ca="1">IF(N(AA13)&gt;0,VLOOKUP(AA13,Hraci!$A$1:$I$1500,2,0)," ")</f>
        <v xml:space="preserve"> </v>
      </c>
      <c r="AC13" s="457" t="str">
        <f ca="1">IF(N(AA13)&gt;0,VLOOKUP(AA13,Hraci!$A$1:$I$1500,3,0)," ")</f>
        <v xml:space="preserve"> </v>
      </c>
      <c r="AD13" s="457" t="str">
        <f ca="1">IF(N(AA13)&gt;0,VLOOKUP(AA13,Hraci!$A$1:$I$1500,5,0)," ")</f>
        <v xml:space="preserve"> </v>
      </c>
      <c r="AE13" s="395">
        <f ca="1">IF(N(AA13)=0,9999,VLOOKUP(AA13,Hraci!$A$1:$I$1500,8,0))</f>
        <v>9999</v>
      </c>
      <c r="AF13" s="458">
        <f ca="1">IF(N(AA13)=0,0,VLOOKUP(AA13,Hraci!$A$1:$I$1500,9,0))</f>
        <v>0</v>
      </c>
      <c r="AG13" s="459"/>
      <c r="AH13" s="465">
        <f ca="1">IF(TYPE(VLOOKUP(H13,Nasazení!$A$3:$E$130,5,0))&lt;4,VLOOKUP(H13,Nasazení!$A$3:$E$130,5,0),0)</f>
        <v>32</v>
      </c>
      <c r="AI13" s="460">
        <f ca="1">IF(N($AH13)&gt;0,VLOOKUP($AH13,Body!$A$4:$F$259,5,0),"")</f>
        <v>38.074437500000002</v>
      </c>
      <c r="AJ13" s="461">
        <f ca="1">IF(N($AH13)&gt;0,VLOOKUP($AH13,Body!$A$4:$F$259,6,0),"")</f>
        <v>0</v>
      </c>
      <c r="AK13" s="460">
        <f ca="1">IF(N($AH13)&gt;0,VLOOKUP($AH13,Body!$A$4:$F$259,2,0),"")</f>
        <v>1</v>
      </c>
      <c r="AL13" s="462" t="str">
        <f t="shared" ca="1" si="12"/>
        <v>3 PC Sokol Lipník - Konšel Jakub</v>
      </c>
      <c r="AM13" s="463">
        <f t="shared" ca="1" si="13"/>
        <v>135.31299999999999</v>
      </c>
      <c r="AN13" s="395">
        <f ca="1">IF(OR(TYPE(I13)&gt;1,TYPE(MATCH(I13,I14:I$139,0))&gt;1),0,MATCH(I13,I14:I$139,0))+IF(OR(TYPE(I13)&gt;1,TYPE(MATCH(I13,O$11:O$139,0))&gt;1),0,MATCH(I13,O$11:O$139,0))+IF(OR(TYPE(I13)&gt;1,TYPE(MATCH(I13,U$11:U$139,0))&gt;1),0,MATCH(I13,U$11:U$139,0))+IF(OR(TYPE(I13)&gt;1,TYPE(MATCH(I13,AA$11:AA$139,0))&gt;1),0,MATCH(I13,AA$11:AA$139,0))</f>
        <v>0</v>
      </c>
      <c r="AO13" s="395">
        <f ca="1">IF(OR(TYPE(O13)&gt;1,TYPE(MATCH(O13,I$11:I$139,0))&gt;1),0,MATCH(O13,I$11:I$139,0))+IF(OR(TYPE(O13)&gt;1,TYPE(MATCH(O13,O14:O$139,0))&gt;1),0,MATCH(O13,O14:O$139,0))+IF(OR(TYPE(O13)&gt;1,TYPE(MATCH(O13,U$11:U$139,0))&gt;1),0,MATCH(O13,U$11:U$139,0))+IF(OR(TYPE(O13)&gt;1,TYPE(MATCH(O13,AA$11:AA$139,0))&gt;1),0,MATCH(O13,AA$11:AA$139,0))</f>
        <v>0</v>
      </c>
      <c r="AP13" s="395">
        <f ca="1">IF(OR(TYPE(U13)&gt;1,TYPE(MATCH(U13,I$11:I$139,0))&gt;1),0,MATCH(U13,I$11:I$139,0))+IF(OR(TYPE(U13)&gt;1,TYPE(MATCH(U13,O$11:O$139,0))&gt;1),0,MATCH(U13,O$11:O$139,0))+IF(OR(TYPE(U13)&gt;1,TYPE(MATCH(U13,U14:U$139,0))&gt;1),0,MATCH(U13,U14:U$139,0))+IF(OR(TYPE(U13)&gt;1,TYPE(MATCH(U13,AA$11:AA$139,0))&gt;1),0,MATCH(U13,AA$11:AA$139,0))</f>
        <v>0</v>
      </c>
      <c r="AQ13" s="395">
        <f ca="1">IF(OR(TYPE(AA13)&gt;1,TYPE(MATCH(AA13,I$11:I$139,0))&gt;1),0,MATCH(AA13,I$11:I$139,0))+IF(OR(TYPE(AA13)&gt;1,TYPE(MATCH(AA13,O$11:O$139,0))&gt;1),0,MATCH(AA13,O$11:O$139,0))+IF(OR(TYPE(AA13)&gt;1,TYPE(MATCH(AA13,U$11:U$139,0))&gt;1),0,MATCH(U13,U$11:U$139,0))+IF(OR(TYPE(AA13)&gt;1,TYPE(MATCH(AA13,AA14:AA$139,0))&gt;1),0,MATCH(AA13,AA14:AA$139,0))</f>
        <v>0</v>
      </c>
      <c r="AR13" s="395">
        <f t="shared" ca="1" si="14"/>
        <v>0</v>
      </c>
      <c r="BF13" s="395">
        <f t="shared" si="15"/>
        <v>3</v>
      </c>
    </row>
    <row r="14" spans="1:58" ht="12.9">
      <c r="A14" s="387">
        <f t="shared" ca="1" si="0"/>
        <v>3</v>
      </c>
      <c r="B14" s="387">
        <f t="shared" ca="1" si="1"/>
        <v>1</v>
      </c>
      <c r="C14" s="387">
        <f t="shared" ca="1" si="2"/>
        <v>135</v>
      </c>
      <c r="D14" s="387">
        <f t="shared" ca="1" si="3"/>
        <v>27</v>
      </c>
      <c r="E14" s="387">
        <f t="shared" ca="1" si="4"/>
        <v>4</v>
      </c>
      <c r="F14" s="417" t="str">
        <f t="shared" ca="1" si="5"/>
        <v>91135000999972999995836147</v>
      </c>
      <c r="G14" s="453" t="b">
        <f t="shared" ca="1" si="6"/>
        <v>0</v>
      </c>
      <c r="H14" s="454">
        <f t="shared" si="7"/>
        <v>4</v>
      </c>
      <c r="I14" s="455">
        <f t="shared" ca="1" si="8"/>
        <v>22007</v>
      </c>
      <c r="J14" s="456" t="str">
        <f ca="1">IF(N(I14)&gt;0,VLOOKUP(I14,Hraci!$A$1:$I$1500,2,0),IF(TYPE(INDIRECT(ADDRESS(ROW() + $A$9-9 + (ROW()-11)*4,2,1,1,"Internet")))&gt;1,INDIRECT(ADDRESS(ROW() + $A$9-9 + (ROW()-11)*4,2,1,1,"Internet"))," "))</f>
        <v>Resl</v>
      </c>
      <c r="K14" s="457" t="str">
        <f ca="1">IF(N(I14)&gt;0,VLOOKUP(I14,Hraci!$A$1:$I$1500,3,0)," ")</f>
        <v>Jan</v>
      </c>
      <c r="L14" s="457" t="str">
        <f ca="1">IF(N(I14)&gt;0,VLOOKUP(I14,Hraci!$A$1:$I$1500,5,0),IF(TYPE(INDIRECT(ADDRESS(ROW() + $A$9-9 + (ROW()-11)*4,3,1,1,"Internet")))&gt;1,INDIRECT(ADDRESS(ROW() + $A$9-9 + (ROW()-11)*4,3,1,1,"Internet"))," "))</f>
        <v>CdP Loděnice</v>
      </c>
      <c r="M14" s="395">
        <f ca="1">IF(N(I14)=0,9999,VLOOKUP(I14,Hraci!$A$1:$I$1500,8,0))</f>
        <v>14</v>
      </c>
      <c r="N14" s="458">
        <f ca="1">IF(N(I14)=0,0,VLOOKUP(I14,Hraci!$A$1:$I$1500,9,0))</f>
        <v>38.25</v>
      </c>
      <c r="O14" s="455">
        <f t="shared" ca="1" si="9"/>
        <v>21755</v>
      </c>
      <c r="P14" s="456" t="str">
        <f ca="1">IF(N(O14)&gt;0,VLOOKUP(O14,Hraci!$A$1:$I$1500,2,0),IF(TYPE(INDIRECT(ADDRESS(ROW() + $A$9-8 + (ROW()-11)*4,2,1,1,"Internet")))&gt;1,INDIRECT(ADDRESS(ROW() + $A$9-8 + (ROW()-11)*4,2,1,1,"Internet"))," "))</f>
        <v>Valenz</v>
      </c>
      <c r="Q14" s="457" t="str">
        <f ca="1">IF(N(O14)&gt;0,VLOOKUP(O14,Hraci!$A$1:$I$1500,3,0)," ")</f>
        <v>Lukáš</v>
      </c>
      <c r="R14" s="457" t="str">
        <f ca="1">IF(N(O14)&gt;0,VLOOKUP(O14,Hraci!$A$1:$I$1500,5,0),IF(TYPE(INDIRECT(ADDRESS(ROW() + $A$9-8 + (ROW()-11)*4,3,1,1,"Internet")))&gt;1,INDIRECT(ADDRESS(ROW() + $A$9-8 + (ROW()-11)*4,3,1,1,"Internet"))," "))</f>
        <v>VARAN</v>
      </c>
      <c r="S14" s="395">
        <f ca="1">IF(N(O14)=0,9999,VLOOKUP(O14,Hraci!$A$1:$I$1500,8,0))</f>
        <v>9</v>
      </c>
      <c r="T14" s="458">
        <f ca="1">IF(N(O14)=0,0,VLOOKUP(O14,Hraci!$A$1:$I$1500,9,0))</f>
        <v>47</v>
      </c>
      <c r="U14" s="455">
        <f t="shared" ca="1" si="10"/>
        <v>27039</v>
      </c>
      <c r="V14" s="456" t="str">
        <f ca="1">IF(N(U14)&gt;0,VLOOKUP(U14,Hraci!$A$1:$I$1500,2,0),IF(TYPE(INDIRECT(ADDRESS(ROW() + $A$9-7 + (ROW()-11)*4,2,1,1,"Internet")))&gt;1,INDIRECT(ADDRESS(ROW() + $A$9-7 + (ROW()-11)*4,2,1,1,"Internet"))," "))</f>
        <v>Kauca st.</v>
      </c>
      <c r="W14" s="457" t="str">
        <f ca="1">IF(N(U14)&gt;0,VLOOKUP(U14,Hraci!$A$1:$I$1500,3,0)," ")</f>
        <v>Jindřich</v>
      </c>
      <c r="X14" s="457" t="str">
        <f ca="1">IF(N(U14)&gt;0,VLOOKUP(U14,Hraci!$A$1:$I$1500,5,0),IF(TYPE(INDIRECT(ADDRESS(ROW() + $A$9-7 + (ROW()-11)*4,3,1,1,"Internet")))&gt;1,INDIRECT(ADDRESS(ROW() + $A$9-7 + (ROW()-11)*4,3,1,1,"Internet"))," "))</f>
        <v>PC Přítkov</v>
      </c>
      <c r="Y14" s="395">
        <f ca="1">IF(N(U14)=0,9999,VLOOKUP(U14,Hraci!$A$1:$I$1500,8,0))</f>
        <v>4</v>
      </c>
      <c r="Z14" s="458">
        <f ca="1">IF(N(U14)=0,0,VLOOKUP(U14,Hraci!$A$1:$I$1500,9,0))</f>
        <v>49.75</v>
      </c>
      <c r="AA14" s="455" t="str">
        <f t="shared" ca="1" si="11"/>
        <v/>
      </c>
      <c r="AB14" s="456" t="str">
        <f ca="1">IF(N(AA14)&gt;0,VLOOKUP(AA14,Hraci!$A$1:$I$1500,2,0)," ")</f>
        <v xml:space="preserve"> </v>
      </c>
      <c r="AC14" s="457" t="str">
        <f ca="1">IF(N(AA14)&gt;0,VLOOKUP(AA14,Hraci!$A$1:$I$1500,3,0)," ")</f>
        <v xml:space="preserve"> </v>
      </c>
      <c r="AD14" s="457" t="str">
        <f ca="1">IF(N(AA14)&gt;0,VLOOKUP(AA14,Hraci!$A$1:$I$1500,5,0)," ")</f>
        <v xml:space="preserve"> </v>
      </c>
      <c r="AE14" s="395">
        <f ca="1">IF(N(AA14)=0,9999,VLOOKUP(AA14,Hraci!$A$1:$I$1500,8,0))</f>
        <v>9999</v>
      </c>
      <c r="AF14" s="458">
        <f ca="1">IF(N(AA14)=0,0,VLOOKUP(AA14,Hraci!$A$1:$I$1500,9,0))</f>
        <v>0</v>
      </c>
      <c r="AG14" s="459"/>
      <c r="AH14" s="465">
        <f ca="1">IF(TYPE(VLOOKUP(H14,Nasazení!$A$3:$E$130,5,0))&lt;4,VLOOKUP(H14,Nasazení!$A$3:$E$130,5,0),0)</f>
        <v>4</v>
      </c>
      <c r="AI14" s="460">
        <f ca="1">IF(N($AH14)&gt;0,VLOOKUP($AH14,Body!$A$4:$F$259,5,0),"")</f>
        <v>152.29775000000001</v>
      </c>
      <c r="AJ14" s="461">
        <f ca="1">IF(N($AH14)&gt;0,VLOOKUP($AH14,Body!$A$4:$F$259,6,0),"")</f>
        <v>0</v>
      </c>
      <c r="AK14" s="460">
        <f ca="1">IF(N($AH14)&gt;0,VLOOKUP($AH14,Body!$A$4:$F$259,2,0),"")</f>
        <v>4</v>
      </c>
      <c r="AL14" s="462" t="str">
        <f t="shared" ca="1" si="12"/>
        <v>4 CdP Loděnice - Resl Jan</v>
      </c>
      <c r="AM14" s="463">
        <f t="shared" ca="1" si="13"/>
        <v>135</v>
      </c>
      <c r="AN14" s="395">
        <f ca="1">IF(OR(TYPE(I14)&gt;1,TYPE(MATCH(I14,I15:I$139,0))&gt;1),0,MATCH(I14,I15:I$139,0))+IF(OR(TYPE(I14)&gt;1,TYPE(MATCH(I14,O$11:O$139,0))&gt;1),0,MATCH(I14,O$11:O$139,0))+IF(OR(TYPE(I14)&gt;1,TYPE(MATCH(I14,U$11:U$139,0))&gt;1),0,MATCH(I14,U$11:U$139,0))+IF(OR(TYPE(I14)&gt;1,TYPE(MATCH(I14,AA$11:AA$139,0))&gt;1),0,MATCH(I14,AA$11:AA$139,0))</f>
        <v>0</v>
      </c>
      <c r="AO14" s="395">
        <f ca="1">IF(OR(TYPE(O14)&gt;1,TYPE(MATCH(O14,I$11:I$139,0))&gt;1),0,MATCH(O14,I$11:I$139,0))+IF(OR(TYPE(O14)&gt;1,TYPE(MATCH(O14,O15:O$139,0))&gt;1),0,MATCH(O14,O15:O$139,0))+IF(OR(TYPE(O14)&gt;1,TYPE(MATCH(O14,U$11:U$139,0))&gt;1),0,MATCH(O14,U$11:U$139,0))+IF(OR(TYPE(O14)&gt;1,TYPE(MATCH(O14,AA$11:AA$139,0))&gt;1),0,MATCH(O14,AA$11:AA$139,0))</f>
        <v>0</v>
      </c>
      <c r="AP14" s="395">
        <f ca="1">IF(OR(TYPE(U14)&gt;1,TYPE(MATCH(U14,I$11:I$139,0))&gt;1),0,MATCH(U14,I$11:I$139,0))+IF(OR(TYPE(U14)&gt;1,TYPE(MATCH(U14,O$11:O$139,0))&gt;1),0,MATCH(U14,O$11:O$139,0))+IF(OR(TYPE(U14)&gt;1,TYPE(MATCH(U14,U15:U$139,0))&gt;1),0,MATCH(U14,U15:U$139,0))+IF(OR(TYPE(U14)&gt;1,TYPE(MATCH(U14,AA$11:AA$139,0))&gt;1),0,MATCH(U14,AA$11:AA$139,0))</f>
        <v>0</v>
      </c>
      <c r="AQ14" s="395">
        <f ca="1">IF(OR(TYPE(AA14)&gt;1,TYPE(MATCH(AA14,I$11:I$139,0))&gt;1),0,MATCH(AA14,I$11:I$139,0))+IF(OR(TYPE(AA14)&gt;1,TYPE(MATCH(AA14,O$11:O$139,0))&gt;1),0,MATCH(AA14,O$11:O$139,0))+IF(OR(TYPE(AA14)&gt;1,TYPE(MATCH(AA14,U$11:U$139,0))&gt;1),0,MATCH(U14,U$11:U$139,0))+IF(OR(TYPE(AA14)&gt;1,TYPE(MATCH(AA14,AA15:AA$139,0))&gt;1),0,MATCH(AA14,AA15:AA$139,0))</f>
        <v>0</v>
      </c>
      <c r="AR14" s="395">
        <f t="shared" ca="1" si="14"/>
        <v>0</v>
      </c>
      <c r="BF14" s="395">
        <f t="shared" si="15"/>
        <v>4</v>
      </c>
    </row>
    <row r="15" spans="1:58" ht="12.9">
      <c r="A15" s="387">
        <f t="shared" ca="1" si="0"/>
        <v>3</v>
      </c>
      <c r="B15" s="387">
        <f t="shared" ca="1" si="1"/>
        <v>1</v>
      </c>
      <c r="C15" s="387">
        <f t="shared" ca="1" si="2"/>
        <v>133.25</v>
      </c>
      <c r="D15" s="387">
        <f t="shared" ca="1" si="3"/>
        <v>58</v>
      </c>
      <c r="E15" s="387">
        <f t="shared" ca="1" si="4"/>
        <v>8</v>
      </c>
      <c r="F15" s="417" t="str">
        <f t="shared" ca="1" si="5"/>
        <v>91133250999941999991405196</v>
      </c>
      <c r="G15" s="453" t="b">
        <f t="shared" ca="1" si="6"/>
        <v>0</v>
      </c>
      <c r="H15" s="454">
        <f t="shared" si="7"/>
        <v>5</v>
      </c>
      <c r="I15" s="455">
        <f t="shared" ca="1" si="8"/>
        <v>14008</v>
      </c>
      <c r="J15" s="456" t="str">
        <f ca="1">IF(N(I15)&gt;0,VLOOKUP(I15,Hraci!$A$1:$I$1500,2,0),IF(TYPE(INDIRECT(ADDRESS(ROW() + $A$9-9 + (ROW()-11)*4,2,1,1,"Internet")))&gt;1,INDIRECT(ADDRESS(ROW() + $A$9-9 + (ROW()-11)*4,2,1,1,"Internet"))," "))</f>
        <v>Bačo</v>
      </c>
      <c r="K15" s="457" t="str">
        <f ca="1">IF(N(I15)&gt;0,VLOOKUP(I15,Hraci!$A$1:$I$1500,3,0)," ")</f>
        <v>David</v>
      </c>
      <c r="L15" s="457" t="str">
        <f ca="1">IF(N(I15)&gt;0,VLOOKUP(I15,Hraci!$A$1:$I$1500,5,0),IF(TYPE(INDIRECT(ADDRESS(ROW() + $A$9-9 + (ROW()-11)*4,3,1,1,"Internet")))&gt;1,INDIRECT(ADDRESS(ROW() + $A$9-9 + (ROW()-11)*4,3,1,1,"Internet"))," "))</f>
        <v>TOP - ORLOVÁ</v>
      </c>
      <c r="M15" s="395">
        <f ca="1">IF(N(I15)=0,9999,VLOOKUP(I15,Hraci!$A$1:$I$1500,8,0))</f>
        <v>20</v>
      </c>
      <c r="N15" s="458">
        <f ca="1">IF(N(I15)=0,0,VLOOKUP(I15,Hraci!$A$1:$I$1500,9,0))</f>
        <v>45</v>
      </c>
      <c r="O15" s="455">
        <f t="shared" ca="1" si="9"/>
        <v>12020</v>
      </c>
      <c r="P15" s="456" t="str">
        <f ca="1">IF(N(O15)&gt;0,VLOOKUP(O15,Hraci!$A$1:$I$1500,2,0),IF(TYPE(INDIRECT(ADDRESS(ROW() + $A$9-8 + (ROW()-11)*4,2,1,1,"Internet")))&gt;1,INDIRECT(ADDRESS(ROW() + $A$9-8 + (ROW()-11)*4,2,1,1,"Internet"))," "))</f>
        <v>Fafek</v>
      </c>
      <c r="Q15" s="457" t="str">
        <f ca="1">IF(N(O15)&gt;0,VLOOKUP(O15,Hraci!$A$1:$I$1500,3,0)," ")</f>
        <v>Petr</v>
      </c>
      <c r="R15" s="457" t="str">
        <f ca="1">IF(N(O15)&gt;0,VLOOKUP(O15,Hraci!$A$1:$I$1500,5,0),IF(TYPE(INDIRECT(ADDRESS(ROW() + $A$9-8 + (ROW()-11)*4,3,1,1,"Internet")))&gt;1,INDIRECT(ADDRESS(ROW() + $A$9-8 + (ROW()-11)*4,3,1,1,"Internet"))," "))</f>
        <v>PC Sokol Lipník</v>
      </c>
      <c r="S15" s="395">
        <f ca="1">IF(N(O15)=0,9999,VLOOKUP(O15,Hraci!$A$1:$I$1500,8,0))</f>
        <v>8</v>
      </c>
      <c r="T15" s="458">
        <f ca="1">IF(N(O15)=0,0,VLOOKUP(O15,Hraci!$A$1:$I$1500,9,0))</f>
        <v>47.75</v>
      </c>
      <c r="U15" s="455">
        <f t="shared" ca="1" si="10"/>
        <v>29061</v>
      </c>
      <c r="V15" s="456" t="str">
        <f ca="1">IF(N(U15)&gt;0,VLOOKUP(U15,Hraci!$A$1:$I$1500,2,0),IF(TYPE(INDIRECT(ADDRESS(ROW() + $A$9-7 + (ROW()-11)*4,2,1,1,"Internet")))&gt;1,INDIRECT(ADDRESS(ROW() + $A$9-7 + (ROW()-11)*4,2,1,1,"Internet"))," "))</f>
        <v>Vavrovič st.</v>
      </c>
      <c r="W15" s="457" t="str">
        <f ca="1">IF(N(U15)&gt;0,VLOOKUP(U15,Hraci!$A$1:$I$1500,3,0)," ")</f>
        <v>Petr</v>
      </c>
      <c r="X15" s="457" t="str">
        <f ca="1">IF(N(U15)&gt;0,VLOOKUP(U15,Hraci!$A$1:$I$1500,5,0),IF(TYPE(INDIRECT(ADDRESS(ROW() + $A$9-7 + (ROW()-11)*4,3,1,1,"Internet")))&gt;1,INDIRECT(ADDRESS(ROW() + $A$9-7 + (ROW()-11)*4,3,1,1,"Internet"))," "))</f>
        <v>PC Sokol Lipník</v>
      </c>
      <c r="Y15" s="395">
        <f ca="1">IF(N(U15)=0,9999,VLOOKUP(U15,Hraci!$A$1:$I$1500,8,0))</f>
        <v>30</v>
      </c>
      <c r="Z15" s="458">
        <f ca="1">IF(N(U15)=0,0,VLOOKUP(U15,Hraci!$A$1:$I$1500,9,0))</f>
        <v>40.5</v>
      </c>
      <c r="AA15" s="455" t="str">
        <f t="shared" ca="1" si="11"/>
        <v/>
      </c>
      <c r="AB15" s="456" t="str">
        <f ca="1">IF(N(AA15)&gt;0,VLOOKUP(AA15,Hraci!$A$1:$I$1500,2,0)," ")</f>
        <v xml:space="preserve"> </v>
      </c>
      <c r="AC15" s="457" t="str">
        <f ca="1">IF(N(AA15)&gt;0,VLOOKUP(AA15,Hraci!$A$1:$I$1500,3,0)," ")</f>
        <v xml:space="preserve"> </v>
      </c>
      <c r="AD15" s="457" t="str">
        <f ca="1">IF(N(AA15)&gt;0,VLOOKUP(AA15,Hraci!$A$1:$I$1500,5,0)," ")</f>
        <v xml:space="preserve"> </v>
      </c>
      <c r="AE15" s="395">
        <f ca="1">IF(N(AA15)=0,9999,VLOOKUP(AA15,Hraci!$A$1:$I$1500,8,0))</f>
        <v>9999</v>
      </c>
      <c r="AF15" s="458">
        <f ca="1">IF(N(AA15)=0,0,VLOOKUP(AA15,Hraci!$A$1:$I$1500,9,0))</f>
        <v>0</v>
      </c>
      <c r="AG15" s="459"/>
      <c r="AH15" s="465">
        <f ca="1">IF(TYPE(VLOOKUP(H15,Nasazení!$A$3:$E$130,5,0))&lt;4,VLOOKUP(H15,Nasazení!$A$3:$E$130,5,0),0)</f>
        <v>7</v>
      </c>
      <c r="AI15" s="460">
        <f ca="1">IF(N($AH15)&gt;0,VLOOKUP($AH15,Body!$A$4:$F$259,5,0),"")</f>
        <v>123.741921875</v>
      </c>
      <c r="AJ15" s="461">
        <f ca="1">IF(N($AH15)&gt;0,VLOOKUP($AH15,Body!$A$4:$F$259,6,0),"")</f>
        <v>0</v>
      </c>
      <c r="AK15" s="460">
        <f ca="1">IF(N($AH15)&gt;0,VLOOKUP($AH15,Body!$A$4:$F$259,2,0),"")</f>
        <v>3.25</v>
      </c>
      <c r="AL15" s="462" t="str">
        <f t="shared" ca="1" si="12"/>
        <v>5 TOP - ORLOVÁ - Bačo David</v>
      </c>
      <c r="AM15" s="463">
        <f t="shared" ca="1" si="13"/>
        <v>133.25</v>
      </c>
      <c r="AN15" s="395">
        <f ca="1">IF(OR(TYPE(I15)&gt;1,TYPE(MATCH(I15,I16:I$139,0))&gt;1),0,MATCH(I15,I16:I$139,0))+IF(OR(TYPE(I15)&gt;1,TYPE(MATCH(I15,O$11:O$139,0))&gt;1),0,MATCH(I15,O$11:O$139,0))+IF(OR(TYPE(I15)&gt;1,TYPE(MATCH(I15,U$11:U$139,0))&gt;1),0,MATCH(I15,U$11:U$139,0))+IF(OR(TYPE(I15)&gt;1,TYPE(MATCH(I15,AA$11:AA$139,0))&gt;1),0,MATCH(I15,AA$11:AA$139,0))</f>
        <v>0</v>
      </c>
      <c r="AO15" s="395">
        <f ca="1">IF(OR(TYPE(O15)&gt;1,TYPE(MATCH(O15,I$11:I$139,0))&gt;1),0,MATCH(O15,I$11:I$139,0))+IF(OR(TYPE(O15)&gt;1,TYPE(MATCH(O15,O16:O$139,0))&gt;1),0,MATCH(O15,O16:O$139,0))+IF(OR(TYPE(O15)&gt;1,TYPE(MATCH(O15,U$11:U$139,0))&gt;1),0,MATCH(O15,U$11:U$139,0))+IF(OR(TYPE(O15)&gt;1,TYPE(MATCH(O15,AA$11:AA$139,0))&gt;1),0,MATCH(O15,AA$11:AA$139,0))</f>
        <v>0</v>
      </c>
      <c r="AP15" s="395">
        <f ca="1">IF(OR(TYPE(U15)&gt;1,TYPE(MATCH(U15,I$11:I$139,0))&gt;1),0,MATCH(U15,I$11:I$139,0))+IF(OR(TYPE(U15)&gt;1,TYPE(MATCH(U15,O$11:O$139,0))&gt;1),0,MATCH(U15,O$11:O$139,0))+IF(OR(TYPE(U15)&gt;1,TYPE(MATCH(U15,U16:U$139,0))&gt;1),0,MATCH(U15,U16:U$139,0))+IF(OR(TYPE(U15)&gt;1,TYPE(MATCH(U15,AA$11:AA$139,0))&gt;1),0,MATCH(U15,AA$11:AA$139,0))</f>
        <v>0</v>
      </c>
      <c r="AQ15" s="395">
        <f ca="1">IF(OR(TYPE(AA15)&gt;1,TYPE(MATCH(AA15,I$11:I$139,0))&gt;1),0,MATCH(AA15,I$11:I$139,0))+IF(OR(TYPE(AA15)&gt;1,TYPE(MATCH(AA15,O$11:O$139,0))&gt;1),0,MATCH(AA15,O$11:O$139,0))+IF(OR(TYPE(AA15)&gt;1,TYPE(MATCH(AA15,U$11:U$139,0))&gt;1),0,MATCH(U15,U$11:U$139,0))+IF(OR(TYPE(AA15)&gt;1,TYPE(MATCH(AA15,AA16:AA$139,0))&gt;1),0,MATCH(AA15,AA16:AA$139,0))</f>
        <v>0</v>
      </c>
      <c r="AR15" s="395">
        <f t="shared" ca="1" si="14"/>
        <v>0</v>
      </c>
      <c r="BF15" s="395">
        <f t="shared" si="15"/>
        <v>5</v>
      </c>
    </row>
    <row r="16" spans="1:58" ht="12.9">
      <c r="A16" s="387">
        <f t="shared" ca="1" si="0"/>
        <v>3</v>
      </c>
      <c r="B16" s="387">
        <f t="shared" ca="1" si="1"/>
        <v>1</v>
      </c>
      <c r="C16" s="387">
        <f t="shared" ca="1" si="2"/>
        <v>118.813</v>
      </c>
      <c r="D16" s="387">
        <f t="shared" ca="1" si="3"/>
        <v>147</v>
      </c>
      <c r="E16" s="387">
        <f t="shared" ca="1" si="4"/>
        <v>46</v>
      </c>
      <c r="F16" s="417" t="str">
        <f t="shared" ca="1" si="5"/>
        <v>91118813999852999953357417</v>
      </c>
      <c r="G16" s="453" t="b">
        <f t="shared" ca="1" si="6"/>
        <v>0</v>
      </c>
      <c r="H16" s="454">
        <f t="shared" si="7"/>
        <v>6</v>
      </c>
      <c r="I16" s="455">
        <f t="shared" ca="1" si="8"/>
        <v>13027</v>
      </c>
      <c r="J16" s="456" t="str">
        <f ca="1">IF(N(I16)&gt;0,VLOOKUP(I16,Hraci!$A$1:$I$1500,2,0),IF(TYPE(INDIRECT(ADDRESS(ROW() + $A$9-9 + (ROW()-11)*4,2,1,1,"Internet")))&gt;1,INDIRECT(ADDRESS(ROW() + $A$9-9 + (ROW()-11)*4,2,1,1,"Internet"))," "))</f>
        <v>Dlouhá</v>
      </c>
      <c r="K16" s="457" t="str">
        <f ca="1">IF(N(I16)&gt;0,VLOOKUP(I16,Hraci!$A$1:$I$1500,3,0)," ")</f>
        <v>Ivana</v>
      </c>
      <c r="L16" s="457" t="str">
        <f ca="1">IF(N(I16)&gt;0,VLOOKUP(I16,Hraci!$A$1:$I$1500,5,0),IF(TYPE(INDIRECT(ADDRESS(ROW() + $A$9-9 + (ROW()-11)*4,3,1,1,"Internet")))&gt;1,INDIRECT(ADDRESS(ROW() + $A$9-9 + (ROW()-11)*4,3,1,1,"Internet"))," "))</f>
        <v>CdP Loděnice</v>
      </c>
      <c r="M16" s="395">
        <f ca="1">IF(N(I16)=0,9999,VLOOKUP(I16,Hraci!$A$1:$I$1500,8,0))</f>
        <v>50</v>
      </c>
      <c r="N16" s="458">
        <f ca="1">IF(N(I16)=0,0,VLOOKUP(I16,Hraci!$A$1:$I$1500,9,0))</f>
        <v>43.5</v>
      </c>
      <c r="O16" s="455">
        <f t="shared" ca="1" si="9"/>
        <v>21756</v>
      </c>
      <c r="P16" s="456" t="str">
        <f ca="1">IF(N(O16)&gt;0,VLOOKUP(O16,Hraci!$A$1:$I$1500,2,0),IF(TYPE(INDIRECT(ADDRESS(ROW() + $A$9-8 + (ROW()-11)*4,2,1,1,"Internet")))&gt;1,INDIRECT(ADDRESS(ROW() + $A$9-8 + (ROW()-11)*4,2,1,1,"Internet"))," "))</f>
        <v>Tintěrová</v>
      </c>
      <c r="Q16" s="457" t="str">
        <f ca="1">IF(N(O16)&gt;0,VLOOKUP(O16,Hraci!$A$1:$I$1500,3,0)," ")</f>
        <v>Kateřina</v>
      </c>
      <c r="R16" s="457" t="str">
        <f ca="1">IF(N(O16)&gt;0,VLOOKUP(O16,Hraci!$A$1:$I$1500,5,0),IF(TYPE(INDIRECT(ADDRESS(ROW() + $A$9-8 + (ROW()-11)*4,3,1,1,"Internet")))&gt;1,INDIRECT(ADDRESS(ROW() + $A$9-8 + (ROW()-11)*4,3,1,1,"Internet"))," "))</f>
        <v>VARAN</v>
      </c>
      <c r="S16" s="395">
        <f ca="1">IF(N(O16)=0,9999,VLOOKUP(O16,Hraci!$A$1:$I$1500,8,0))</f>
        <v>46</v>
      </c>
      <c r="T16" s="458">
        <f ca="1">IF(N(O16)=0,0,VLOOKUP(O16,Hraci!$A$1:$I$1500,9,0))</f>
        <v>32.563000000000002</v>
      </c>
      <c r="U16" s="455">
        <f t="shared" ca="1" si="10"/>
        <v>13029</v>
      </c>
      <c r="V16" s="456" t="str">
        <f ca="1">IF(N(U16)&gt;0,VLOOKUP(U16,Hraci!$A$1:$I$1500,2,0),IF(TYPE(INDIRECT(ADDRESS(ROW() + $A$9-7 + (ROW()-11)*4,2,1,1,"Internet")))&gt;1,INDIRECT(ADDRESS(ROW() + $A$9-7 + (ROW()-11)*4,2,1,1,"Internet"))," "))</f>
        <v>Kamaryt</v>
      </c>
      <c r="W16" s="457" t="str">
        <f ca="1">IF(N(U16)&gt;0,VLOOKUP(U16,Hraci!$A$1:$I$1500,3,0)," ")</f>
        <v>Josef</v>
      </c>
      <c r="X16" s="457" t="str">
        <f ca="1">IF(N(U16)&gt;0,VLOOKUP(U16,Hraci!$A$1:$I$1500,5,0),IF(TYPE(INDIRECT(ADDRESS(ROW() + $A$9-7 + (ROW()-11)*4,3,1,1,"Internet")))&gt;1,INDIRECT(ADDRESS(ROW() + $A$9-7 + (ROW()-11)*4,3,1,1,"Internet"))," "))</f>
        <v>CdP Loděnice</v>
      </c>
      <c r="Y16" s="395">
        <f ca="1">IF(N(U16)=0,9999,VLOOKUP(U16,Hraci!$A$1:$I$1500,8,0))</f>
        <v>51</v>
      </c>
      <c r="Z16" s="458">
        <f ca="1">IF(N(U16)=0,0,VLOOKUP(U16,Hraci!$A$1:$I$1500,9,0))</f>
        <v>42.75</v>
      </c>
      <c r="AA16" s="455" t="str">
        <f t="shared" ca="1" si="11"/>
        <v/>
      </c>
      <c r="AB16" s="456" t="str">
        <f ca="1">IF(N(AA16)&gt;0,VLOOKUP(AA16,Hraci!$A$1:$I$1500,2,0)," ")</f>
        <v xml:space="preserve"> </v>
      </c>
      <c r="AC16" s="457" t="str">
        <f ca="1">IF(N(AA16)&gt;0,VLOOKUP(AA16,Hraci!$A$1:$I$1500,3,0)," ")</f>
        <v xml:space="preserve"> </v>
      </c>
      <c r="AD16" s="457" t="str">
        <f ca="1">IF(N(AA16)&gt;0,VLOOKUP(AA16,Hraci!$A$1:$I$1500,5,0)," ")</f>
        <v xml:space="preserve"> </v>
      </c>
      <c r="AE16" s="395">
        <f ca="1">IF(N(AA16)=0,9999,VLOOKUP(AA16,Hraci!$A$1:$I$1500,8,0))</f>
        <v>9999</v>
      </c>
      <c r="AF16" s="458">
        <f ca="1">IF(N(AA16)=0,0,VLOOKUP(AA16,Hraci!$A$1:$I$1500,9,0))</f>
        <v>0</v>
      </c>
      <c r="AG16" s="459"/>
      <c r="AH16" s="465">
        <f ca="1">IF(TYPE(VLOOKUP(H16,Nasazení!$A$3:$E$130,5,0))&lt;4,VLOOKUP(H16,Nasazení!$A$3:$E$130,5,0),0)</f>
        <v>10</v>
      </c>
      <c r="AI16" s="460">
        <f ca="1">IF(N($AH16)&gt;0,VLOOKUP($AH16,Body!$A$4:$F$259,5,0),"")</f>
        <v>104.70470312500001</v>
      </c>
      <c r="AJ16" s="461">
        <f ca="1">IF(N($AH16)&gt;0,VLOOKUP($AH16,Body!$A$4:$F$259,6,0),"")</f>
        <v>0</v>
      </c>
      <c r="AK16" s="460">
        <f ca="1">IF(N($AH16)&gt;0,VLOOKUP($AH16,Body!$A$4:$F$259,2,0),"")</f>
        <v>2.75</v>
      </c>
      <c r="AL16" s="462" t="str">
        <f t="shared" ca="1" si="12"/>
        <v>6 CdP Loděnice - Dlouhá Ivana</v>
      </c>
      <c r="AM16" s="463">
        <f t="shared" ca="1" si="13"/>
        <v>118.813</v>
      </c>
      <c r="AN16" s="395">
        <f ca="1">IF(OR(TYPE(I16)&gt;1,TYPE(MATCH(I16,I17:I$139,0))&gt;1),0,MATCH(I16,I17:I$139,0))+IF(OR(TYPE(I16)&gt;1,TYPE(MATCH(I16,O$11:O$139,0))&gt;1),0,MATCH(I16,O$11:O$139,0))+IF(OR(TYPE(I16)&gt;1,TYPE(MATCH(I16,U$11:U$139,0))&gt;1),0,MATCH(I16,U$11:U$139,0))+IF(OR(TYPE(I16)&gt;1,TYPE(MATCH(I16,AA$11:AA$139,0))&gt;1),0,MATCH(I16,AA$11:AA$139,0))</f>
        <v>0</v>
      </c>
      <c r="AO16" s="395">
        <f ca="1">IF(OR(TYPE(O16)&gt;1,TYPE(MATCH(O16,I$11:I$139,0))&gt;1),0,MATCH(O16,I$11:I$139,0))+IF(OR(TYPE(O16)&gt;1,TYPE(MATCH(O16,O17:O$139,0))&gt;1),0,MATCH(O16,O17:O$139,0))+IF(OR(TYPE(O16)&gt;1,TYPE(MATCH(O16,U$11:U$139,0))&gt;1),0,MATCH(O16,U$11:U$139,0))+IF(OR(TYPE(O16)&gt;1,TYPE(MATCH(O16,AA$11:AA$139,0))&gt;1),0,MATCH(O16,AA$11:AA$139,0))</f>
        <v>0</v>
      </c>
      <c r="AP16" s="395">
        <f ca="1">IF(OR(TYPE(U16)&gt;1,TYPE(MATCH(U16,I$11:I$139,0))&gt;1),0,MATCH(U16,I$11:I$139,0))+IF(OR(TYPE(U16)&gt;1,TYPE(MATCH(U16,O$11:O$139,0))&gt;1),0,MATCH(U16,O$11:O$139,0))+IF(OR(TYPE(U16)&gt;1,TYPE(MATCH(U16,U17:U$139,0))&gt;1),0,MATCH(U16,U17:U$139,0))+IF(OR(TYPE(U16)&gt;1,TYPE(MATCH(U16,AA$11:AA$139,0))&gt;1),0,MATCH(U16,AA$11:AA$139,0))</f>
        <v>0</v>
      </c>
      <c r="AQ16" s="395">
        <f ca="1">IF(OR(TYPE(AA16)&gt;1,TYPE(MATCH(AA16,I$11:I$139,0))&gt;1),0,MATCH(AA16,I$11:I$139,0))+IF(OR(TYPE(AA16)&gt;1,TYPE(MATCH(AA16,O$11:O$139,0))&gt;1),0,MATCH(AA16,O$11:O$139,0))+IF(OR(TYPE(AA16)&gt;1,TYPE(MATCH(AA16,U$11:U$139,0))&gt;1),0,MATCH(U16,U$11:U$139,0))+IF(OR(TYPE(AA16)&gt;1,TYPE(MATCH(AA16,AA17:AA$139,0))&gt;1),0,MATCH(AA16,AA17:AA$139,0))</f>
        <v>0</v>
      </c>
      <c r="AR16" s="395">
        <f t="shared" ca="1" si="14"/>
        <v>0</v>
      </c>
      <c r="BF16" s="395">
        <f t="shared" si="15"/>
        <v>6</v>
      </c>
    </row>
    <row r="17" spans="1:58" ht="12.9">
      <c r="A17" s="387">
        <f t="shared" ca="1" si="0"/>
        <v>3</v>
      </c>
      <c r="B17" s="387">
        <f t="shared" ca="1" si="1"/>
        <v>1</v>
      </c>
      <c r="C17" s="387">
        <f t="shared" ca="1" si="2"/>
        <v>116.688</v>
      </c>
      <c r="D17" s="387">
        <f t="shared" ca="1" si="3"/>
        <v>106</v>
      </c>
      <c r="E17" s="387">
        <f t="shared" ca="1" si="4"/>
        <v>32</v>
      </c>
      <c r="F17" s="417" t="str">
        <f t="shared" ca="1" si="5"/>
        <v>91116688999893999967318214</v>
      </c>
      <c r="G17" s="453" t="b">
        <f t="shared" ca="1" si="6"/>
        <v>0</v>
      </c>
      <c r="H17" s="454">
        <f t="shared" si="7"/>
        <v>7</v>
      </c>
      <c r="I17" s="455">
        <f t="shared" ca="1" si="8"/>
        <v>19019</v>
      </c>
      <c r="J17" s="456" t="str">
        <f ca="1">IF(N(I17)&gt;0,VLOOKUP(I17,Hraci!$A$1:$I$1500,2,0),IF(TYPE(INDIRECT(ADDRESS(ROW() + $A$9-9 + (ROW()-11)*4,2,1,1,"Internet")))&gt;1,INDIRECT(ADDRESS(ROW() + $A$9-9 + (ROW()-11)*4,2,1,1,"Internet"))," "))</f>
        <v>Motl</v>
      </c>
      <c r="K17" s="457" t="str">
        <f ca="1">IF(N(I17)&gt;0,VLOOKUP(I17,Hraci!$A$1:$I$1500,3,0)," ")</f>
        <v>Bohuslav</v>
      </c>
      <c r="L17" s="457" t="str">
        <f ca="1">IF(N(I17)&gt;0,VLOOKUP(I17,Hraci!$A$1:$I$1500,5,0),IF(TYPE(INDIRECT(ADDRESS(ROW() + $A$9-9 + (ROW()-11)*4,3,1,1,"Internet")))&gt;1,INDIRECT(ADDRESS(ROW() + $A$9-9 + (ROW()-11)*4,3,1,1,"Internet"))," "))</f>
        <v>HRODE KRUMSÍN</v>
      </c>
      <c r="M17" s="395">
        <f ca="1">IF(N(I17)=0,9999,VLOOKUP(I17,Hraci!$A$1:$I$1500,8,0))</f>
        <v>33</v>
      </c>
      <c r="N17" s="458">
        <f ca="1">IF(N(I17)=0,0,VLOOKUP(I17,Hraci!$A$1:$I$1500,9,0))</f>
        <v>34.938000000000002</v>
      </c>
      <c r="O17" s="455">
        <f t="shared" ca="1" si="9"/>
        <v>99555</v>
      </c>
      <c r="P17" s="456" t="str">
        <f ca="1">IF(N(O17)&gt;0,VLOOKUP(O17,Hraci!$A$1:$I$1500,2,0),IF(TYPE(INDIRECT(ADDRESS(ROW() + $A$9-8 + (ROW()-11)*4,2,1,1,"Internet")))&gt;1,INDIRECT(ADDRESS(ROW() + $A$9-8 + (ROW()-11)*4,2,1,1,"Internet"))," "))</f>
        <v>Pírek</v>
      </c>
      <c r="Q17" s="457" t="str">
        <f ca="1">IF(N(O17)&gt;0,VLOOKUP(O17,Hraci!$A$1:$I$1500,3,0)," ")</f>
        <v>Martin</v>
      </c>
      <c r="R17" s="457" t="str">
        <f ca="1">IF(N(O17)&gt;0,VLOOKUP(O17,Hraci!$A$1:$I$1500,5,0),IF(TYPE(INDIRECT(ADDRESS(ROW() + $A$9-8 + (ROW()-11)*4,3,1,1,"Internet")))&gt;1,INDIRECT(ADDRESS(ROW() + $A$9-8 + (ROW()-11)*4,3,1,1,"Internet"))," "))</f>
        <v>HRODE KRUMSÍN</v>
      </c>
      <c r="S17" s="395">
        <f ca="1">IF(N(O17)=0,9999,VLOOKUP(O17,Hraci!$A$1:$I$1500,8,0))</f>
        <v>41</v>
      </c>
      <c r="T17" s="458">
        <f ca="1">IF(N(O17)=0,0,VLOOKUP(O17,Hraci!$A$1:$I$1500,9,0))</f>
        <v>42.25</v>
      </c>
      <c r="U17" s="455">
        <f t="shared" ca="1" si="10"/>
        <v>29040</v>
      </c>
      <c r="V17" s="456" t="str">
        <f ca="1">IF(N(U17)&gt;0,VLOOKUP(U17,Hraci!$A$1:$I$1500,2,0),IF(TYPE(INDIRECT(ADDRESS(ROW() + $A$9-7 + (ROW()-11)*4,2,1,1,"Internet")))&gt;1,INDIRECT(ADDRESS(ROW() + $A$9-7 + (ROW()-11)*4,2,1,1,"Internet"))," "))</f>
        <v>Krpec</v>
      </c>
      <c r="W17" s="457" t="str">
        <f ca="1">IF(N(U17)&gt;0,VLOOKUP(U17,Hraci!$A$1:$I$1500,3,0)," ")</f>
        <v>Miroslav</v>
      </c>
      <c r="X17" s="457" t="str">
        <f ca="1">IF(N(U17)&gt;0,VLOOKUP(U17,Hraci!$A$1:$I$1500,5,0),IF(TYPE(INDIRECT(ADDRESS(ROW() + $A$9-7 + (ROW()-11)*4,3,1,1,"Internet")))&gt;1,INDIRECT(ADDRESS(ROW() + $A$9-7 + (ROW()-11)*4,3,1,1,"Internet"))," "))</f>
        <v>HRODE KRUMSÍN</v>
      </c>
      <c r="Y17" s="395">
        <f ca="1">IF(N(U17)=0,9999,VLOOKUP(U17,Hraci!$A$1:$I$1500,8,0))</f>
        <v>32</v>
      </c>
      <c r="Z17" s="458">
        <f ca="1">IF(N(U17)=0,0,VLOOKUP(U17,Hraci!$A$1:$I$1500,9,0))</f>
        <v>39.5</v>
      </c>
      <c r="AA17" s="455" t="str">
        <f t="shared" ca="1" si="11"/>
        <v/>
      </c>
      <c r="AB17" s="456" t="str">
        <f ca="1">IF(N(AA17)&gt;0,VLOOKUP(AA17,Hraci!$A$1:$I$1500,2,0)," ")</f>
        <v xml:space="preserve"> </v>
      </c>
      <c r="AC17" s="457" t="str">
        <f ca="1">IF(N(AA17)&gt;0,VLOOKUP(AA17,Hraci!$A$1:$I$1500,3,0)," ")</f>
        <v xml:space="preserve"> </v>
      </c>
      <c r="AD17" s="457" t="str">
        <f ca="1">IF(N(AA17)&gt;0,VLOOKUP(AA17,Hraci!$A$1:$I$1500,5,0)," ")</f>
        <v xml:space="preserve"> </v>
      </c>
      <c r="AE17" s="395">
        <f ca="1">IF(N(AA17)=0,9999,VLOOKUP(AA17,Hraci!$A$1:$I$1500,8,0))</f>
        <v>9999</v>
      </c>
      <c r="AF17" s="458">
        <f ca="1">IF(N(AA17)=0,0,VLOOKUP(AA17,Hraci!$A$1:$I$1500,9,0))</f>
        <v>0</v>
      </c>
      <c r="AG17" s="459"/>
      <c r="AH17" s="465">
        <f ca="1">IF(TYPE(VLOOKUP(H17,Nasazení!$A$3:$E$130,5,0))&lt;4,VLOOKUP(H17,Nasazení!$A$3:$E$130,5,0),0)</f>
        <v>6</v>
      </c>
      <c r="AI17" s="460">
        <f ca="1">IF(N($AH17)&gt;0,VLOOKUP($AH17,Body!$A$4:$F$259,5,0),"")</f>
        <v>133.26053125000001</v>
      </c>
      <c r="AJ17" s="461">
        <f ca="1">IF(N($AH17)&gt;0,VLOOKUP($AH17,Body!$A$4:$F$259,6,0),"")</f>
        <v>0</v>
      </c>
      <c r="AK17" s="460">
        <f ca="1">IF(N($AH17)&gt;0,VLOOKUP($AH17,Body!$A$4:$F$259,2,0),"")</f>
        <v>3.5</v>
      </c>
      <c r="AL17" s="462" t="str">
        <f t="shared" ca="1" si="12"/>
        <v>7 HRODE KRUMSÍN - Motl Bohuslav</v>
      </c>
      <c r="AM17" s="463">
        <f t="shared" ca="1" si="13"/>
        <v>116.688</v>
      </c>
      <c r="AN17" s="395">
        <f ca="1">IF(OR(TYPE(I17)&gt;1,TYPE(MATCH(I17,I18:I$139,0))&gt;1),0,MATCH(I17,I18:I$139,0))+IF(OR(TYPE(I17)&gt;1,TYPE(MATCH(I17,O$11:O$139,0))&gt;1),0,MATCH(I17,O$11:O$139,0))+IF(OR(TYPE(I17)&gt;1,TYPE(MATCH(I17,U$11:U$139,0))&gt;1),0,MATCH(I17,U$11:U$139,0))+IF(OR(TYPE(I17)&gt;1,TYPE(MATCH(I17,AA$11:AA$139,0))&gt;1),0,MATCH(I17,AA$11:AA$139,0))</f>
        <v>0</v>
      </c>
      <c r="AO17" s="395">
        <f ca="1">IF(OR(TYPE(O17)&gt;1,TYPE(MATCH(O17,I$11:I$139,0))&gt;1),0,MATCH(O17,I$11:I$139,0))+IF(OR(TYPE(O17)&gt;1,TYPE(MATCH(O17,O18:O$139,0))&gt;1),0,MATCH(O17,O18:O$139,0))+IF(OR(TYPE(O17)&gt;1,TYPE(MATCH(O17,U$11:U$139,0))&gt;1),0,MATCH(O17,U$11:U$139,0))+IF(OR(TYPE(O17)&gt;1,TYPE(MATCH(O17,AA$11:AA$139,0))&gt;1),0,MATCH(O17,AA$11:AA$139,0))</f>
        <v>0</v>
      </c>
      <c r="AP17" s="395">
        <f ca="1">IF(OR(TYPE(U17)&gt;1,TYPE(MATCH(U17,I$11:I$139,0))&gt;1),0,MATCH(U17,I$11:I$139,0))+IF(OR(TYPE(U17)&gt;1,TYPE(MATCH(U17,O$11:O$139,0))&gt;1),0,MATCH(U17,O$11:O$139,0))+IF(OR(TYPE(U17)&gt;1,TYPE(MATCH(U17,U18:U$139,0))&gt;1),0,MATCH(U17,U18:U$139,0))+IF(OR(TYPE(U17)&gt;1,TYPE(MATCH(U17,AA$11:AA$139,0))&gt;1),0,MATCH(U17,AA$11:AA$139,0))</f>
        <v>0</v>
      </c>
      <c r="AQ17" s="395">
        <f ca="1">IF(OR(TYPE(AA17)&gt;1,TYPE(MATCH(AA17,I$11:I$139,0))&gt;1),0,MATCH(AA17,I$11:I$139,0))+IF(OR(TYPE(AA17)&gt;1,TYPE(MATCH(AA17,O$11:O$139,0))&gt;1),0,MATCH(AA17,O$11:O$139,0))+IF(OR(TYPE(AA17)&gt;1,TYPE(MATCH(AA17,U$11:U$139,0))&gt;1),0,MATCH(U17,U$11:U$139,0))+IF(OR(TYPE(AA17)&gt;1,TYPE(MATCH(AA17,AA18:AA$139,0))&gt;1),0,MATCH(AA17,AA18:AA$139,0))</f>
        <v>0</v>
      </c>
      <c r="AR17" s="395">
        <f t="shared" ca="1" si="14"/>
        <v>0</v>
      </c>
      <c r="BF17" s="395">
        <f t="shared" si="15"/>
        <v>7</v>
      </c>
    </row>
    <row r="18" spans="1:58" ht="12.9">
      <c r="A18" s="387">
        <f t="shared" ca="1" si="0"/>
        <v>3</v>
      </c>
      <c r="B18" s="387">
        <f t="shared" ca="1" si="1"/>
        <v>1</v>
      </c>
      <c r="C18" s="387">
        <f t="shared" ca="1" si="2"/>
        <v>107.001</v>
      </c>
      <c r="D18" s="387">
        <f t="shared" ca="1" si="3"/>
        <v>154</v>
      </c>
      <c r="E18" s="387">
        <f t="shared" ca="1" si="4"/>
        <v>22</v>
      </c>
      <c r="F18" s="417" t="str">
        <f t="shared" ca="1" si="5"/>
        <v>91107001999845999977649294</v>
      </c>
      <c r="G18" s="453" t="b">
        <f t="shared" ca="1" si="6"/>
        <v>0</v>
      </c>
      <c r="H18" s="454">
        <f t="shared" si="7"/>
        <v>8</v>
      </c>
      <c r="I18" s="455">
        <f t="shared" ca="1" si="8"/>
        <v>15057</v>
      </c>
      <c r="J18" s="456" t="str">
        <f ca="1">IF(N(I18)&gt;0,VLOOKUP(I18,Hraci!$A$1:$I$1500,2,0),IF(TYPE(INDIRECT(ADDRESS(ROW() + $A$9-9 + (ROW()-11)*4,2,1,1,"Internet")))&gt;1,INDIRECT(ADDRESS(ROW() + $A$9-9 + (ROW()-11)*4,2,1,1,"Internet"))," "))</f>
        <v>Vedral</v>
      </c>
      <c r="K18" s="457" t="str">
        <f ca="1">IF(N(I18)&gt;0,VLOOKUP(I18,Hraci!$A$1:$I$1500,3,0)," ")</f>
        <v>Filip</v>
      </c>
      <c r="L18" s="457" t="str">
        <f ca="1">IF(N(I18)&gt;0,VLOOKUP(I18,Hraci!$A$1:$I$1500,5,0),IF(TYPE(INDIRECT(ADDRESS(ROW() + $A$9-9 + (ROW()-11)*4,3,1,1,"Internet")))&gt;1,INDIRECT(ADDRESS(ROW() + $A$9-9 + (ROW()-11)*4,3,1,1,"Internet"))," "))</f>
        <v>1. KPK Vrchlabí</v>
      </c>
      <c r="M18" s="395">
        <f ca="1">IF(N(I18)=0,9999,VLOOKUP(I18,Hraci!$A$1:$I$1500,8,0))</f>
        <v>22</v>
      </c>
      <c r="N18" s="458">
        <f ca="1">IF(N(I18)=0,0,VLOOKUP(I18,Hraci!$A$1:$I$1500,9,0))</f>
        <v>39.5</v>
      </c>
      <c r="O18" s="455">
        <f t="shared" ca="1" si="9"/>
        <v>22106</v>
      </c>
      <c r="P18" s="456" t="str">
        <f ca="1">IF(N(O18)&gt;0,VLOOKUP(O18,Hraci!$A$1:$I$1500,2,0),IF(TYPE(INDIRECT(ADDRESS(ROW() + $A$9-8 + (ROW()-11)*4,2,1,1,"Internet")))&gt;1,INDIRECT(ADDRESS(ROW() + $A$9-8 + (ROW()-11)*4,2,1,1,"Internet"))," "))</f>
        <v>Daněk</v>
      </c>
      <c r="Q18" s="457" t="str">
        <f ca="1">IF(N(O18)&gt;0,VLOOKUP(O18,Hraci!$A$1:$I$1500,3,0)," ")</f>
        <v>Patrik</v>
      </c>
      <c r="R18" s="457" t="str">
        <f ca="1">IF(N(O18)&gt;0,VLOOKUP(O18,Hraci!$A$1:$I$1500,5,0),IF(TYPE(INDIRECT(ADDRESS(ROW() + $A$9-8 + (ROW()-11)*4,3,1,1,"Internet")))&gt;1,INDIRECT(ADDRESS(ROW() + $A$9-8 + (ROW()-11)*4,3,1,1,"Internet"))," "))</f>
        <v>SLOPE Brno</v>
      </c>
      <c r="S18" s="395">
        <f ca="1">IF(N(O18)=0,9999,VLOOKUP(O18,Hraci!$A$1:$I$1500,8,0))</f>
        <v>75</v>
      </c>
      <c r="T18" s="458">
        <f ca="1">IF(N(O18)=0,0,VLOOKUP(O18,Hraci!$A$1:$I$1500,9,0))</f>
        <v>33.938000000000002</v>
      </c>
      <c r="U18" s="455">
        <f t="shared" ca="1" si="10"/>
        <v>10138</v>
      </c>
      <c r="V18" s="456" t="str">
        <f ca="1">IF(N(U18)&gt;0,VLOOKUP(U18,Hraci!$A$1:$I$1500,2,0),IF(TYPE(INDIRECT(ADDRESS(ROW() + $A$9-7 + (ROW()-11)*4,2,1,1,"Internet")))&gt;1,INDIRECT(ADDRESS(ROW() + $A$9-7 + (ROW()-11)*4,2,1,1,"Internet"))," "))</f>
        <v>Hájek ml.</v>
      </c>
      <c r="W18" s="457" t="str">
        <f ca="1">IF(N(U18)&gt;0,VLOOKUP(U18,Hraci!$A$1:$I$1500,3,0)," ")</f>
        <v>Martin</v>
      </c>
      <c r="X18" s="457" t="str">
        <f ca="1">IF(N(U18)&gt;0,VLOOKUP(U18,Hraci!$A$1:$I$1500,5,0),IF(TYPE(INDIRECT(ADDRESS(ROW() + $A$9-7 + (ROW()-11)*4,3,1,1,"Internet")))&gt;1,INDIRECT(ADDRESS(ROW() + $A$9-7 + (ROW()-11)*4,3,1,1,"Internet"))," "))</f>
        <v>PEK Stolín</v>
      </c>
      <c r="Y18" s="395">
        <f ca="1">IF(N(U18)=0,9999,VLOOKUP(U18,Hraci!$A$1:$I$1500,8,0))</f>
        <v>57</v>
      </c>
      <c r="Z18" s="458">
        <f ca="1">IF(N(U18)=0,0,VLOOKUP(U18,Hraci!$A$1:$I$1500,9,0))</f>
        <v>33.563000000000002</v>
      </c>
      <c r="AA18" s="455">
        <f t="shared" ca="1" si="11"/>
        <v>16106</v>
      </c>
      <c r="AB18" s="456" t="str">
        <f ca="1">IF(N(AA18)&gt;0,VLOOKUP(AA18,Hraci!$A$1:$I$1500,2,0)," ")</f>
        <v>Konšel</v>
      </c>
      <c r="AC18" s="457" t="str">
        <f ca="1">IF(N(AA18)&gt;0,VLOOKUP(AA18,Hraci!$A$1:$I$1500,3,0)," ")</f>
        <v>Robin</v>
      </c>
      <c r="AD18" s="457" t="str">
        <f ca="1">IF(N(AA18)&gt;0,VLOOKUP(AA18,Hraci!$A$1:$I$1500,5,0)," ")</f>
        <v>HRODE KRUMSÍN</v>
      </c>
      <c r="AE18" s="395">
        <f ca="1">IF(N(AA18)=0,9999,VLOOKUP(AA18,Hraci!$A$1:$I$1500,8,0))</f>
        <v>80</v>
      </c>
      <c r="AF18" s="458">
        <f ca="1">IF(N(AA18)=0,0,VLOOKUP(AA18,Hraci!$A$1:$I$1500,9,0))</f>
        <v>31.25</v>
      </c>
      <c r="AG18" s="459"/>
      <c r="AH18" s="465">
        <f ca="1">IF(TYPE(VLOOKUP(H18,Nasazení!$A$3:$E$130,5,0))&lt;4,VLOOKUP(H18,Nasazení!$A$3:$E$130,5,0),0)</f>
        <v>32</v>
      </c>
      <c r="AI18" s="460">
        <f ca="1">IF(N($AH18)&gt;0,VLOOKUP($AH18,Body!$A$4:$F$259,5,0),"")</f>
        <v>38.074437500000002</v>
      </c>
      <c r="AJ18" s="461">
        <f ca="1">IF(N($AH18)&gt;0,VLOOKUP($AH18,Body!$A$4:$F$259,6,0),"")</f>
        <v>0</v>
      </c>
      <c r="AK18" s="460">
        <f ca="1">IF(N($AH18)&gt;0,VLOOKUP($AH18,Body!$A$4:$F$259,2,0),"")</f>
        <v>1</v>
      </c>
      <c r="AL18" s="462" t="str">
        <f t="shared" ca="1" si="12"/>
        <v>8 1. KPK Vrchlabí - Vedral Filip</v>
      </c>
      <c r="AM18" s="463">
        <f t="shared" ca="1" si="13"/>
        <v>107.001</v>
      </c>
      <c r="AN18" s="395">
        <f ca="1">IF(OR(TYPE(I18)&gt;1,TYPE(MATCH(I18,I19:I$139,0))&gt;1),0,MATCH(I18,I19:I$139,0))+IF(OR(TYPE(I18)&gt;1,TYPE(MATCH(I18,O$11:O$139,0))&gt;1),0,MATCH(I18,O$11:O$139,0))+IF(OR(TYPE(I18)&gt;1,TYPE(MATCH(I18,U$11:U$139,0))&gt;1),0,MATCH(I18,U$11:U$139,0))+IF(OR(TYPE(I18)&gt;1,TYPE(MATCH(I18,AA$11:AA$139,0))&gt;1),0,MATCH(I18,AA$11:AA$139,0))</f>
        <v>0</v>
      </c>
      <c r="AO18" s="395">
        <f ca="1">IF(OR(TYPE(O18)&gt;1,TYPE(MATCH(O18,I$11:I$139,0))&gt;1),0,MATCH(O18,I$11:I$139,0))+IF(OR(TYPE(O18)&gt;1,TYPE(MATCH(O18,O19:O$139,0))&gt;1),0,MATCH(O18,O19:O$139,0))+IF(OR(TYPE(O18)&gt;1,TYPE(MATCH(O18,U$11:U$139,0))&gt;1),0,MATCH(O18,U$11:U$139,0))+IF(OR(TYPE(O18)&gt;1,TYPE(MATCH(O18,AA$11:AA$139,0))&gt;1),0,MATCH(O18,AA$11:AA$139,0))</f>
        <v>0</v>
      </c>
      <c r="AP18" s="395">
        <f ca="1">IF(OR(TYPE(U18)&gt;1,TYPE(MATCH(U18,I$11:I$139,0))&gt;1),0,MATCH(U18,I$11:I$139,0))+IF(OR(TYPE(U18)&gt;1,TYPE(MATCH(U18,O$11:O$139,0))&gt;1),0,MATCH(U18,O$11:O$139,0))+IF(OR(TYPE(U18)&gt;1,TYPE(MATCH(U18,U19:U$139,0))&gt;1),0,MATCH(U18,U19:U$139,0))+IF(OR(TYPE(U18)&gt;1,TYPE(MATCH(U18,AA$11:AA$139,0))&gt;1),0,MATCH(U18,AA$11:AA$139,0))</f>
        <v>0</v>
      </c>
      <c r="AQ18" s="395">
        <f ca="1">IF(OR(TYPE(AA18)&gt;1,TYPE(MATCH(AA18,I$11:I$139,0))&gt;1),0,MATCH(AA18,I$11:I$139,0))+IF(OR(TYPE(AA18)&gt;1,TYPE(MATCH(AA18,O$11:O$139,0))&gt;1),0,MATCH(AA18,O$11:O$139,0))+IF(OR(TYPE(AA18)&gt;1,TYPE(MATCH(AA18,U$11:U$139,0))&gt;1),0,MATCH(U18,U$11:U$139,0))+IF(OR(TYPE(AA18)&gt;1,TYPE(MATCH(AA18,AA19:AA$139,0))&gt;1),0,MATCH(AA18,AA19:AA$139,0))</f>
        <v>0</v>
      </c>
      <c r="AR18" s="395">
        <f t="shared" ca="1" si="14"/>
        <v>0</v>
      </c>
      <c r="BF18" s="395">
        <f t="shared" si="15"/>
        <v>8</v>
      </c>
    </row>
    <row r="19" spans="1:58" ht="12.9">
      <c r="A19" s="387">
        <f t="shared" ca="1" si="0"/>
        <v>3</v>
      </c>
      <c r="B19" s="387">
        <f t="shared" ca="1" si="1"/>
        <v>1</v>
      </c>
      <c r="C19" s="387">
        <f t="shared" ca="1" si="2"/>
        <v>106.125</v>
      </c>
      <c r="D19" s="387">
        <f t="shared" ca="1" si="3"/>
        <v>146</v>
      </c>
      <c r="E19" s="387">
        <f t="shared" ca="1" si="4"/>
        <v>27</v>
      </c>
      <c r="F19" s="417" t="str">
        <f t="shared" ca="1" si="5"/>
        <v>91106125999853999972510496</v>
      </c>
      <c r="G19" s="453" t="b">
        <f t="shared" ca="1" si="6"/>
        <v>0</v>
      </c>
      <c r="H19" s="454">
        <f t="shared" si="7"/>
        <v>9</v>
      </c>
      <c r="I19" s="455">
        <f t="shared" ca="1" si="8"/>
        <v>17067</v>
      </c>
      <c r="J19" s="456" t="str">
        <f ca="1">IF(N(I19)&gt;0,VLOOKUP(I19,Hraci!$A$1:$I$1500,2,0),IF(TYPE(INDIRECT(ADDRESS(ROW() + $A$9-9 + (ROW()-11)*4,2,1,1,"Internet")))&gt;1,INDIRECT(ADDRESS(ROW() + $A$9-9 + (ROW()-11)*4,2,1,1,"Internet"))," "))</f>
        <v>Dudašková</v>
      </c>
      <c r="K19" s="457" t="str">
        <f ca="1">IF(N(I19)&gt;0,VLOOKUP(I19,Hraci!$A$1:$I$1500,3,0)," ")</f>
        <v>Michaela</v>
      </c>
      <c r="L19" s="457" t="str">
        <f ca="1">IF(N(I19)&gt;0,VLOOKUP(I19,Hraci!$A$1:$I$1500,5,0),IF(TYPE(INDIRECT(ADDRESS(ROW() + $A$9-9 + (ROW()-11)*4,3,1,1,"Internet")))&gt;1,INDIRECT(ADDRESS(ROW() + $A$9-9 + (ROW()-11)*4,3,1,1,"Internet"))," "))</f>
        <v>Carreau Brno</v>
      </c>
      <c r="M19" s="395">
        <f ca="1">IF(N(I19)=0,9999,VLOOKUP(I19,Hraci!$A$1:$I$1500,8,0))</f>
        <v>81</v>
      </c>
      <c r="N19" s="458">
        <f ca="1">IF(N(I19)=0,0,VLOOKUP(I19,Hraci!$A$1:$I$1500,9,0))</f>
        <v>28.375</v>
      </c>
      <c r="O19" s="455">
        <f t="shared" ca="1" si="9"/>
        <v>14074</v>
      </c>
      <c r="P19" s="456" t="str">
        <f ca="1">IF(N(O19)&gt;0,VLOOKUP(O19,Hraci!$A$1:$I$1500,2,0),IF(TYPE(INDIRECT(ADDRESS(ROW() + $A$9-8 + (ROW()-11)*4,2,1,1,"Internet")))&gt;1,INDIRECT(ADDRESS(ROW() + $A$9-8 + (ROW()-11)*4,2,1,1,"Internet"))," "))</f>
        <v>Froňková</v>
      </c>
      <c r="Q19" s="457" t="str">
        <f ca="1">IF(N(O19)&gt;0,VLOOKUP(O19,Hraci!$A$1:$I$1500,3,0)," ")</f>
        <v>Blanka</v>
      </c>
      <c r="R19" s="457" t="str">
        <f ca="1">IF(N(O19)&gt;0,VLOOKUP(O19,Hraci!$A$1:$I$1500,5,0),IF(TYPE(INDIRECT(ADDRESS(ROW() + $A$9-8 + (ROW()-11)*4,3,1,1,"Internet")))&gt;1,INDIRECT(ADDRESS(ROW() + $A$9-8 + (ROW()-11)*4,3,1,1,"Internet"))," "))</f>
        <v>PC Sokol Lipník</v>
      </c>
      <c r="S19" s="395">
        <f ca="1">IF(N(O19)=0,9999,VLOOKUP(O19,Hraci!$A$1:$I$1500,8,0))</f>
        <v>38</v>
      </c>
      <c r="T19" s="458">
        <f ca="1">IF(N(O19)=0,0,VLOOKUP(O19,Hraci!$A$1:$I$1500,9,0))</f>
        <v>32.5</v>
      </c>
      <c r="U19" s="455">
        <f t="shared" ca="1" si="10"/>
        <v>18124</v>
      </c>
      <c r="V19" s="456" t="str">
        <f ca="1">IF(N(U19)&gt;0,VLOOKUP(U19,Hraci!$A$1:$I$1500,2,0),IF(TYPE(INDIRECT(ADDRESS(ROW() + $A$9-7 + (ROW()-11)*4,2,1,1,"Internet")))&gt;1,INDIRECT(ADDRESS(ROW() + $A$9-7 + (ROW()-11)*4,2,1,1,"Internet"))," "))</f>
        <v>Valošková</v>
      </c>
      <c r="W19" s="457" t="str">
        <f ca="1">IF(N(U19)&gt;0,VLOOKUP(U19,Hraci!$A$1:$I$1500,3,0)," ")</f>
        <v>Sára</v>
      </c>
      <c r="X19" s="457" t="str">
        <f ca="1">IF(N(U19)&gt;0,VLOOKUP(U19,Hraci!$A$1:$I$1500,5,0),IF(TYPE(INDIRECT(ADDRESS(ROW() + $A$9-7 + (ROW()-11)*4,3,1,1,"Internet")))&gt;1,INDIRECT(ADDRESS(ROW() + $A$9-7 + (ROW()-11)*4,3,1,1,"Internet"))," "))</f>
        <v>PK Polouvsí</v>
      </c>
      <c r="Y19" s="395">
        <f ca="1">IF(N(U19)=0,9999,VLOOKUP(U19,Hraci!$A$1:$I$1500,8,0))</f>
        <v>27</v>
      </c>
      <c r="Z19" s="458">
        <f ca="1">IF(N(U19)=0,0,VLOOKUP(U19,Hraci!$A$1:$I$1500,9,0))</f>
        <v>45.25</v>
      </c>
      <c r="AA19" s="455" t="str">
        <f t="shared" ca="1" si="11"/>
        <v/>
      </c>
      <c r="AB19" s="456" t="str">
        <f ca="1">IF(N(AA19)&gt;0,VLOOKUP(AA19,Hraci!$A$1:$I$1500,2,0)," ")</f>
        <v xml:space="preserve"> </v>
      </c>
      <c r="AC19" s="457" t="str">
        <f ca="1">IF(N(AA19)&gt;0,VLOOKUP(AA19,Hraci!$A$1:$I$1500,3,0)," ")</f>
        <v xml:space="preserve"> </v>
      </c>
      <c r="AD19" s="457" t="str">
        <f ca="1">IF(N(AA19)&gt;0,VLOOKUP(AA19,Hraci!$A$1:$I$1500,5,0)," ")</f>
        <v xml:space="preserve"> </v>
      </c>
      <c r="AE19" s="395">
        <f ca="1">IF(N(AA19)=0,9999,VLOOKUP(AA19,Hraci!$A$1:$I$1500,8,0))</f>
        <v>9999</v>
      </c>
      <c r="AF19" s="458">
        <f ca="1">IF(N(AA19)=0,0,VLOOKUP(AA19,Hraci!$A$1:$I$1500,9,0))</f>
        <v>0</v>
      </c>
      <c r="AG19" s="459"/>
      <c r="AH19" s="465">
        <v>48</v>
      </c>
      <c r="AI19" s="460">
        <f ca="1">IF(N($AH19)&gt;0,VLOOKUP($AH19,Body!$A$4:$F$259,5,0),"")</f>
        <v>19.037218750000001</v>
      </c>
      <c r="AJ19" s="461">
        <f ca="1">IF(N($AH19)&gt;0,VLOOKUP($AH19,Body!$A$4:$F$259,6,0),"")</f>
        <v>0</v>
      </c>
      <c r="AK19" s="460">
        <f ca="1">IF(N($AH19)&gt;0,VLOOKUP($AH19,Body!$A$4:$F$259,2,0),"")</f>
        <v>0.5</v>
      </c>
      <c r="AL19" s="462" t="str">
        <f t="shared" ca="1" si="12"/>
        <v>9 Carreau Brno - Dudašková Michaela</v>
      </c>
      <c r="AM19" s="463">
        <f t="shared" ca="1" si="13"/>
        <v>106.125</v>
      </c>
      <c r="AN19" s="395">
        <f ca="1">IF(OR(TYPE(I19)&gt;1,TYPE(MATCH(I19,I20:I$139,0))&gt;1),0,MATCH(I19,I20:I$139,0))+IF(OR(TYPE(I19)&gt;1,TYPE(MATCH(I19,O$11:O$139,0))&gt;1),0,MATCH(I19,O$11:O$139,0))+IF(OR(TYPE(I19)&gt;1,TYPE(MATCH(I19,U$11:U$139,0))&gt;1),0,MATCH(I19,U$11:U$139,0))+IF(OR(TYPE(I19)&gt;1,TYPE(MATCH(I19,AA$11:AA$139,0))&gt;1),0,MATCH(I19,AA$11:AA$139,0))</f>
        <v>0</v>
      </c>
      <c r="AO19" s="395">
        <f ca="1">IF(OR(TYPE(O19)&gt;1,TYPE(MATCH(O19,I$11:I$139,0))&gt;1),0,MATCH(O19,I$11:I$139,0))+IF(OR(TYPE(O19)&gt;1,TYPE(MATCH(O19,O20:O$139,0))&gt;1),0,MATCH(O19,O20:O$139,0))+IF(OR(TYPE(O19)&gt;1,TYPE(MATCH(O19,U$11:U$139,0))&gt;1),0,MATCH(O19,U$11:U$139,0))+IF(OR(TYPE(O19)&gt;1,TYPE(MATCH(O19,AA$11:AA$139,0))&gt;1),0,MATCH(O19,AA$11:AA$139,0))</f>
        <v>0</v>
      </c>
      <c r="AP19" s="395">
        <f ca="1">IF(OR(TYPE(U19)&gt;1,TYPE(MATCH(U19,I$11:I$139,0))&gt;1),0,MATCH(U19,I$11:I$139,0))+IF(OR(TYPE(U19)&gt;1,TYPE(MATCH(U19,O$11:O$139,0))&gt;1),0,MATCH(U19,O$11:O$139,0))+IF(OR(TYPE(U19)&gt;1,TYPE(MATCH(U19,U20:U$139,0))&gt;1),0,MATCH(U19,U20:U$139,0))+IF(OR(TYPE(U19)&gt;1,TYPE(MATCH(U19,AA$11:AA$139,0))&gt;1),0,MATCH(U19,AA$11:AA$139,0))</f>
        <v>0</v>
      </c>
      <c r="AQ19" s="395">
        <f ca="1">IF(OR(TYPE(AA19)&gt;1,TYPE(MATCH(AA19,I$11:I$139,0))&gt;1),0,MATCH(AA19,I$11:I$139,0))+IF(OR(TYPE(AA19)&gt;1,TYPE(MATCH(AA19,O$11:O$139,0))&gt;1),0,MATCH(AA19,O$11:O$139,0))+IF(OR(TYPE(AA19)&gt;1,TYPE(MATCH(AA19,U$11:U$139,0))&gt;1),0,MATCH(U19,U$11:U$139,0))+IF(OR(TYPE(AA19)&gt;1,TYPE(MATCH(AA19,AA20:AA$139,0))&gt;1),0,MATCH(AA19,AA20:AA$139,0))</f>
        <v>0</v>
      </c>
      <c r="AR19" s="395">
        <f t="shared" ca="1" si="14"/>
        <v>0</v>
      </c>
      <c r="BF19" s="395">
        <f t="shared" si="15"/>
        <v>9</v>
      </c>
    </row>
    <row r="20" spans="1:58" ht="12.9">
      <c r="A20" s="387">
        <f t="shared" ca="1" si="0"/>
        <v>3</v>
      </c>
      <c r="B20" s="387">
        <f t="shared" ca="1" si="1"/>
        <v>1</v>
      </c>
      <c r="C20" s="387">
        <f t="shared" ca="1" si="2"/>
        <v>104.875</v>
      </c>
      <c r="D20" s="387">
        <f t="shared" ca="1" si="3"/>
        <v>140</v>
      </c>
      <c r="E20" s="387">
        <f t="shared" ca="1" si="4"/>
        <v>21</v>
      </c>
      <c r="F20" s="417" t="str">
        <f t="shared" ca="1" si="5"/>
        <v>91104875999859999978799075</v>
      </c>
      <c r="G20" s="453" t="b">
        <f t="shared" ca="1" si="6"/>
        <v>0</v>
      </c>
      <c r="H20" s="454">
        <f t="shared" si="7"/>
        <v>10</v>
      </c>
      <c r="I20" s="455">
        <f t="shared" ca="1" si="8"/>
        <v>27030</v>
      </c>
      <c r="J20" s="456" t="str">
        <f ca="1">IF(N(I20)&gt;0,VLOOKUP(I20,Hraci!$A$1:$I$1500,2,0),IF(TYPE(INDIRECT(ADDRESS(ROW() + $A$9-9 + (ROW()-11)*4,2,1,1,"Internet")))&gt;1,INDIRECT(ADDRESS(ROW() + $A$9-9 + (ROW()-11)*4,2,1,1,"Internet"))," "))</f>
        <v>Kutá</v>
      </c>
      <c r="K20" s="457" t="str">
        <f ca="1">IF(N(I20)&gt;0,VLOOKUP(I20,Hraci!$A$1:$I$1500,3,0)," ")</f>
        <v>Miloslava</v>
      </c>
      <c r="L20" s="457" t="str">
        <f ca="1">IF(N(I20)&gt;0,VLOOKUP(I20,Hraci!$A$1:$I$1500,5,0),IF(TYPE(INDIRECT(ADDRESS(ROW() + $A$9-9 + (ROW()-11)*4,3,1,1,"Internet")))&gt;1,INDIRECT(ADDRESS(ROW() + $A$9-9 + (ROW()-11)*4,3,1,1,"Internet"))," "))</f>
        <v>SKP Hranice VI-Valšovice</v>
      </c>
      <c r="M20" s="395">
        <f ca="1">IF(N(I20)=0,9999,VLOOKUP(I20,Hraci!$A$1:$I$1500,8,0))</f>
        <v>21</v>
      </c>
      <c r="N20" s="458">
        <f ca="1">IF(N(I20)=0,0,VLOOKUP(I20,Hraci!$A$1:$I$1500,9,0))</f>
        <v>39.25</v>
      </c>
      <c r="O20" s="455">
        <f t="shared" ca="1" si="9"/>
        <v>28055</v>
      </c>
      <c r="P20" s="456" t="str">
        <f ca="1">IF(N(O20)&gt;0,VLOOKUP(O20,Hraci!$A$1:$I$1500,2,0),IF(TYPE(INDIRECT(ADDRESS(ROW() + $A$9-8 + (ROW()-11)*4,2,1,1,"Internet")))&gt;1,INDIRECT(ADDRESS(ROW() + $A$9-8 + (ROW()-11)*4,2,1,1,"Internet"))," "))</f>
        <v>Svobodová</v>
      </c>
      <c r="Q20" s="457" t="str">
        <f ca="1">IF(N(O20)&gt;0,VLOOKUP(O20,Hraci!$A$1:$I$1500,3,0)," ")</f>
        <v>Lenka</v>
      </c>
      <c r="R20" s="457" t="str">
        <f ca="1">IF(N(O20)&gt;0,VLOOKUP(O20,Hraci!$A$1:$I$1500,5,0),IF(TYPE(INDIRECT(ADDRESS(ROW() + $A$9-8 + (ROW()-11)*4,3,1,1,"Internet")))&gt;1,INDIRECT(ADDRESS(ROW() + $A$9-8 + (ROW()-11)*4,3,1,1,"Internet"))," "))</f>
        <v>SKP Hranice VI-Valšovice</v>
      </c>
      <c r="S20" s="395">
        <f ca="1">IF(N(O20)=0,9999,VLOOKUP(O20,Hraci!$A$1:$I$1500,8,0))</f>
        <v>94</v>
      </c>
      <c r="T20" s="458">
        <f ca="1">IF(N(O20)=0,0,VLOOKUP(O20,Hraci!$A$1:$I$1500,9,0))</f>
        <v>25.25</v>
      </c>
      <c r="U20" s="455">
        <f t="shared" ca="1" si="10"/>
        <v>28004</v>
      </c>
      <c r="V20" s="456" t="str">
        <f ca="1">IF(N(U20)&gt;0,VLOOKUP(U20,Hraci!$A$1:$I$1500,2,0),IF(TYPE(INDIRECT(ADDRESS(ROW() + $A$9-7 + (ROW()-11)*4,2,1,1,"Internet")))&gt;1,INDIRECT(ADDRESS(ROW() + $A$9-7 + (ROW()-11)*4,2,1,1,"Internet"))," "))</f>
        <v>Tománek</v>
      </c>
      <c r="W20" s="457" t="str">
        <f ca="1">IF(N(U20)&gt;0,VLOOKUP(U20,Hraci!$A$1:$I$1500,3,0)," ")</f>
        <v>Petr</v>
      </c>
      <c r="X20" s="457" t="str">
        <f ca="1">IF(N(U20)&gt;0,VLOOKUP(U20,Hraci!$A$1:$I$1500,5,0),IF(TYPE(INDIRECT(ADDRESS(ROW() + $A$9-7 + (ROW()-11)*4,3,1,1,"Internet")))&gt;1,INDIRECT(ADDRESS(ROW() + $A$9-7 + (ROW()-11)*4,3,1,1,"Internet"))," "))</f>
        <v>SKP Hranice VI-Valšovice</v>
      </c>
      <c r="Y20" s="395">
        <f ca="1">IF(N(U20)=0,9999,VLOOKUP(U20,Hraci!$A$1:$I$1500,8,0))</f>
        <v>25</v>
      </c>
      <c r="Z20" s="458">
        <f ca="1">IF(N(U20)=0,0,VLOOKUP(U20,Hraci!$A$1:$I$1500,9,0))</f>
        <v>40.375</v>
      </c>
      <c r="AA20" s="455" t="str">
        <f t="shared" ca="1" si="11"/>
        <v/>
      </c>
      <c r="AB20" s="456" t="str">
        <f ca="1">IF(N(AA20)&gt;0,VLOOKUP(AA20,Hraci!$A$1:$I$1500,2,0)," ")</f>
        <v xml:space="preserve"> </v>
      </c>
      <c r="AC20" s="457" t="str">
        <f ca="1">IF(N(AA20)&gt;0,VLOOKUP(AA20,Hraci!$A$1:$I$1500,3,0)," ")</f>
        <v xml:space="preserve"> </v>
      </c>
      <c r="AD20" s="457" t="str">
        <f ca="1">IF(N(AA20)&gt;0,VLOOKUP(AA20,Hraci!$A$1:$I$1500,5,0)," ")</f>
        <v xml:space="preserve"> </v>
      </c>
      <c r="AE20" s="395">
        <f ca="1">IF(N(AA20)=0,9999,VLOOKUP(AA20,Hraci!$A$1:$I$1500,8,0))</f>
        <v>9999</v>
      </c>
      <c r="AF20" s="458">
        <f ca="1">IF(N(AA20)=0,0,VLOOKUP(AA20,Hraci!$A$1:$I$1500,9,0))</f>
        <v>0</v>
      </c>
      <c r="AG20" s="459"/>
      <c r="AH20" s="465">
        <v>48</v>
      </c>
      <c r="AI20" s="460">
        <f ca="1">IF(N($AH20)&gt;0,VLOOKUP($AH20,Body!$A$4:$F$259,5,0),"")</f>
        <v>19.037218750000001</v>
      </c>
      <c r="AJ20" s="461">
        <f ca="1">IF(N($AH20)&gt;0,VLOOKUP($AH20,Body!$A$4:$F$259,6,0),"")</f>
        <v>0</v>
      </c>
      <c r="AK20" s="460">
        <f ca="1">IF(N($AH20)&gt;0,VLOOKUP($AH20,Body!$A$4:$F$259,2,0),"")</f>
        <v>0.5</v>
      </c>
      <c r="AL20" s="462" t="str">
        <f t="shared" ca="1" si="12"/>
        <v>10 SKP Hranice VI-Valšovice - Kutá Miloslava</v>
      </c>
      <c r="AM20" s="463">
        <f t="shared" ca="1" si="13"/>
        <v>104.875</v>
      </c>
      <c r="AN20" s="395">
        <f ca="1">IF(OR(TYPE(I20)&gt;1,TYPE(MATCH(I20,I21:I$139,0))&gt;1),0,MATCH(I20,I21:I$139,0))+IF(OR(TYPE(I20)&gt;1,TYPE(MATCH(I20,O$11:O$139,0))&gt;1),0,MATCH(I20,O$11:O$139,0))+IF(OR(TYPE(I20)&gt;1,TYPE(MATCH(I20,U$11:U$139,0))&gt;1),0,MATCH(I20,U$11:U$139,0))+IF(OR(TYPE(I20)&gt;1,TYPE(MATCH(I20,AA$11:AA$139,0))&gt;1),0,MATCH(I20,AA$11:AA$139,0))</f>
        <v>0</v>
      </c>
      <c r="AO20" s="395">
        <f ca="1">IF(OR(TYPE(O20)&gt;1,TYPE(MATCH(O20,I$11:I$139,0))&gt;1),0,MATCH(O20,I$11:I$139,0))+IF(OR(TYPE(O20)&gt;1,TYPE(MATCH(O20,O21:O$139,0))&gt;1),0,MATCH(O20,O21:O$139,0))+IF(OR(TYPE(O20)&gt;1,TYPE(MATCH(O20,U$11:U$139,0))&gt;1),0,MATCH(O20,U$11:U$139,0))+IF(OR(TYPE(O20)&gt;1,TYPE(MATCH(O20,AA$11:AA$139,0))&gt;1),0,MATCH(O20,AA$11:AA$139,0))</f>
        <v>0</v>
      </c>
      <c r="AP20" s="395">
        <f ca="1">IF(OR(TYPE(U20)&gt;1,TYPE(MATCH(U20,I$11:I$139,0))&gt;1),0,MATCH(U20,I$11:I$139,0))+IF(OR(TYPE(U20)&gt;1,TYPE(MATCH(U20,O$11:O$139,0))&gt;1),0,MATCH(U20,O$11:O$139,0))+IF(OR(TYPE(U20)&gt;1,TYPE(MATCH(U20,U21:U$139,0))&gt;1),0,MATCH(U20,U21:U$139,0))+IF(OR(TYPE(U20)&gt;1,TYPE(MATCH(U20,AA$11:AA$139,0))&gt;1),0,MATCH(U20,AA$11:AA$139,0))</f>
        <v>0</v>
      </c>
      <c r="AQ20" s="395">
        <f ca="1">IF(OR(TYPE(AA20)&gt;1,TYPE(MATCH(AA20,I$11:I$139,0))&gt;1),0,MATCH(AA20,I$11:I$139,0))+IF(OR(TYPE(AA20)&gt;1,TYPE(MATCH(AA20,O$11:O$139,0))&gt;1),0,MATCH(AA20,O$11:O$139,0))+IF(OR(TYPE(AA20)&gt;1,TYPE(MATCH(AA20,U$11:U$139,0))&gt;1),0,MATCH(U20,U$11:U$139,0))+IF(OR(TYPE(AA20)&gt;1,TYPE(MATCH(AA20,AA21:AA$139,0))&gt;1),0,MATCH(AA20,AA21:AA$139,0))</f>
        <v>0</v>
      </c>
      <c r="AR20" s="395">
        <f t="shared" ca="1" si="14"/>
        <v>0</v>
      </c>
      <c r="BF20" s="395">
        <f t="shared" si="15"/>
        <v>10</v>
      </c>
    </row>
    <row r="21" spans="1:58" ht="12.9">
      <c r="A21" s="387">
        <f t="shared" ca="1" si="0"/>
        <v>3</v>
      </c>
      <c r="B21" s="387">
        <f t="shared" ca="1" si="1"/>
        <v>1</v>
      </c>
      <c r="C21" s="387">
        <f t="shared" ca="1" si="2"/>
        <v>104.751</v>
      </c>
      <c r="D21" s="387">
        <f t="shared" ca="1" si="3"/>
        <v>297</v>
      </c>
      <c r="E21" s="387">
        <f t="shared" ca="1" si="4"/>
        <v>59</v>
      </c>
      <c r="F21" s="417" t="str">
        <f t="shared" ca="1" si="5"/>
        <v>91104751999702999940767186</v>
      </c>
      <c r="G21" s="453" t="b">
        <f t="shared" ca="1" si="6"/>
        <v>0</v>
      </c>
      <c r="H21" s="454">
        <f t="shared" si="7"/>
        <v>11</v>
      </c>
      <c r="I21" s="455">
        <f t="shared" ca="1" si="8"/>
        <v>22183</v>
      </c>
      <c r="J21" s="456" t="str">
        <f ca="1">IF(N(I21)&gt;0,VLOOKUP(I21,Hraci!$A$1:$I$1500,2,0),IF(TYPE(INDIRECT(ADDRESS(ROW() + $A$9-9 + (ROW()-11)*4,2,1,1,"Internet")))&gt;1,INDIRECT(ADDRESS(ROW() + $A$9-9 + (ROW()-11)*4,2,1,1,"Internet"))," "))</f>
        <v>Brandes</v>
      </c>
      <c r="K21" s="457" t="str">
        <f ca="1">IF(N(I21)&gt;0,VLOOKUP(I21,Hraci!$A$1:$I$1500,3,0)," ")</f>
        <v>Michael</v>
      </c>
      <c r="L21" s="457" t="str">
        <f ca="1">IF(N(I21)&gt;0,VLOOKUP(I21,Hraci!$A$1:$I$1500,5,0),IF(TYPE(INDIRECT(ADDRESS(ROW() + $A$9-9 + (ROW()-11)*4,3,1,1,"Internet")))&gt;1,INDIRECT(ADDRESS(ROW() + $A$9-9 + (ROW()-11)*4,3,1,1,"Internet"))," "))</f>
        <v>PC Damníkov</v>
      </c>
      <c r="M21" s="395">
        <f ca="1">IF(N(I21)=0,9999,VLOOKUP(I21,Hraci!$A$1:$I$1500,8,0))</f>
        <v>59</v>
      </c>
      <c r="N21" s="458">
        <f ca="1">IF(N(I21)=0,0,VLOOKUP(I21,Hraci!$A$1:$I$1500,9,0))</f>
        <v>37.5</v>
      </c>
      <c r="O21" s="455">
        <f t="shared" ca="1" si="9"/>
        <v>22180</v>
      </c>
      <c r="P21" s="456" t="str">
        <f ca="1">IF(N(O21)&gt;0,VLOOKUP(O21,Hraci!$A$1:$I$1500,2,0),IF(TYPE(INDIRECT(ADDRESS(ROW() + $A$9-8 + (ROW()-11)*4,2,1,1,"Internet")))&gt;1,INDIRECT(ADDRESS(ROW() + $A$9-8 + (ROW()-11)*4,2,1,1,"Internet"))," "))</f>
        <v>Čiviš</v>
      </c>
      <c r="Q21" s="457" t="str">
        <f ca="1">IF(N(O21)&gt;0,VLOOKUP(O21,Hraci!$A$1:$I$1500,3,0)," ")</f>
        <v>Antonín</v>
      </c>
      <c r="R21" s="457" t="str">
        <f ca="1">IF(N(O21)&gt;0,VLOOKUP(O21,Hraci!$A$1:$I$1500,5,0),IF(TYPE(INDIRECT(ADDRESS(ROW() + $A$9-8 + (ROW()-11)*4,3,1,1,"Internet")))&gt;1,INDIRECT(ADDRESS(ROW() + $A$9-8 + (ROW()-11)*4,3,1,1,"Internet"))," "))</f>
        <v>P.C.B.D.</v>
      </c>
      <c r="S21" s="395">
        <f ca="1">IF(N(O21)=0,9999,VLOOKUP(O21,Hraci!$A$1:$I$1500,8,0))</f>
        <v>153</v>
      </c>
      <c r="T21" s="458">
        <f ca="1">IF(N(O21)=0,0,VLOOKUP(O21,Hraci!$A$1:$I$1500,9,0))</f>
        <v>33.125999999999998</v>
      </c>
      <c r="U21" s="455">
        <f t="shared" ca="1" si="10"/>
        <v>19034</v>
      </c>
      <c r="V21" s="456" t="str">
        <f ca="1">IF(N(U21)&gt;0,VLOOKUP(U21,Hraci!$A$1:$I$1500,2,0),IF(TYPE(INDIRECT(ADDRESS(ROW() + $A$9-7 + (ROW()-11)*4,2,1,1,"Internet")))&gt;1,INDIRECT(ADDRESS(ROW() + $A$9-7 + (ROW()-11)*4,2,1,1,"Internet"))," "))</f>
        <v>Valošek</v>
      </c>
      <c r="W21" s="457" t="str">
        <f ca="1">IF(N(U21)&gt;0,VLOOKUP(U21,Hraci!$A$1:$I$1500,3,0)," ")</f>
        <v>Hugo</v>
      </c>
      <c r="X21" s="457" t="str">
        <f ca="1">IF(N(U21)&gt;0,VLOOKUP(U21,Hraci!$A$1:$I$1500,5,0),IF(TYPE(INDIRECT(ADDRESS(ROW() + $A$9-7 + (ROW()-11)*4,3,1,1,"Internet")))&gt;1,INDIRECT(ADDRESS(ROW() + $A$9-7 + (ROW()-11)*4,3,1,1,"Internet"))," "))</f>
        <v>PK Polouvsí</v>
      </c>
      <c r="Y21" s="395">
        <f ca="1">IF(N(U21)=0,9999,VLOOKUP(U21,Hraci!$A$1:$I$1500,8,0))</f>
        <v>85</v>
      </c>
      <c r="Z21" s="458">
        <f ca="1">IF(N(U21)=0,0,VLOOKUP(U21,Hraci!$A$1:$I$1500,9,0))</f>
        <v>34.125</v>
      </c>
      <c r="AA21" s="455">
        <f t="shared" ca="1" si="11"/>
        <v>18042</v>
      </c>
      <c r="AB21" s="456" t="str">
        <f ca="1">IF(N(AA21)&gt;0,VLOOKUP(AA21,Hraci!$A$1:$I$1500,2,0)," ")</f>
        <v>Rousek</v>
      </c>
      <c r="AC21" s="457" t="str">
        <f ca="1">IF(N(AA21)&gt;0,VLOOKUP(AA21,Hraci!$A$1:$I$1500,3,0)," ")</f>
        <v>Simon</v>
      </c>
      <c r="AD21" s="457" t="str">
        <f ca="1">IF(N(AA21)&gt;0,VLOOKUP(AA21,Hraci!$A$1:$I$1500,5,0)," ")</f>
        <v>PEK Stolín</v>
      </c>
      <c r="AE21" s="395">
        <f ca="1">IF(N(AA21)=0,9999,VLOOKUP(AA21,Hraci!$A$1:$I$1500,8,0))</f>
        <v>74</v>
      </c>
      <c r="AF21" s="458">
        <f ca="1">IF(N(AA21)=0,0,VLOOKUP(AA21,Hraci!$A$1:$I$1500,9,0))</f>
        <v>27.626000000000001</v>
      </c>
      <c r="AG21" s="459"/>
      <c r="AH21" s="465">
        <f ca="1">IF(TYPE(VLOOKUP(H21,Nasazení!$A$3:$E$130,5,0))&lt;4,VLOOKUP(H21,Nasazení!$A$3:$E$130,5,0),0)</f>
        <v>32</v>
      </c>
      <c r="AI21" s="460">
        <f ca="1">IF(N($AH21)&gt;0,VLOOKUP($AH21,Body!$A$4:$F$259,5,0),"")</f>
        <v>38.074437500000002</v>
      </c>
      <c r="AJ21" s="461">
        <f ca="1">IF(N($AH21)&gt;0,VLOOKUP($AH21,Body!$A$4:$F$259,6,0),"")</f>
        <v>0</v>
      </c>
      <c r="AK21" s="460">
        <f ca="1">IF(N($AH21)&gt;0,VLOOKUP($AH21,Body!$A$4:$F$259,2,0),"")</f>
        <v>1</v>
      </c>
      <c r="AL21" s="462" t="str">
        <f t="shared" ca="1" si="12"/>
        <v>11 PC Damníkov - Brandes Michael</v>
      </c>
      <c r="AM21" s="463">
        <f t="shared" ca="1" si="13"/>
        <v>104.751</v>
      </c>
      <c r="AN21" s="395">
        <f ca="1">IF(OR(TYPE(I21)&gt;1,TYPE(MATCH(I21,I22:I$139,0))&gt;1),0,MATCH(I21,I22:I$139,0))+IF(OR(TYPE(I21)&gt;1,TYPE(MATCH(I21,O$11:O$139,0))&gt;1),0,MATCH(I21,O$11:O$139,0))+IF(OR(TYPE(I21)&gt;1,TYPE(MATCH(I21,U$11:U$139,0))&gt;1),0,MATCH(I21,U$11:U$139,0))+IF(OR(TYPE(I21)&gt;1,TYPE(MATCH(I21,AA$11:AA$139,0))&gt;1),0,MATCH(I21,AA$11:AA$139,0))</f>
        <v>0</v>
      </c>
      <c r="AO21" s="395">
        <f ca="1">IF(OR(TYPE(O21)&gt;1,TYPE(MATCH(O21,I$11:I$139,0))&gt;1),0,MATCH(O21,I$11:I$139,0))+IF(OR(TYPE(O21)&gt;1,TYPE(MATCH(O21,O22:O$139,0))&gt;1),0,MATCH(O21,O22:O$139,0))+IF(OR(TYPE(O21)&gt;1,TYPE(MATCH(O21,U$11:U$139,0))&gt;1),0,MATCH(O21,U$11:U$139,0))+IF(OR(TYPE(O21)&gt;1,TYPE(MATCH(O21,AA$11:AA$139,0))&gt;1),0,MATCH(O21,AA$11:AA$139,0))</f>
        <v>0</v>
      </c>
      <c r="AP21" s="395">
        <f ca="1">IF(OR(TYPE(U21)&gt;1,TYPE(MATCH(U21,I$11:I$139,0))&gt;1),0,MATCH(U21,I$11:I$139,0))+IF(OR(TYPE(U21)&gt;1,TYPE(MATCH(U21,O$11:O$139,0))&gt;1),0,MATCH(U21,O$11:O$139,0))+IF(OR(TYPE(U21)&gt;1,TYPE(MATCH(U21,U22:U$139,0))&gt;1),0,MATCH(U21,U22:U$139,0))+IF(OR(TYPE(U21)&gt;1,TYPE(MATCH(U21,AA$11:AA$139,0))&gt;1),0,MATCH(U21,AA$11:AA$139,0))</f>
        <v>0</v>
      </c>
      <c r="AQ21" s="395">
        <f ca="1">IF(OR(TYPE(AA21)&gt;1,TYPE(MATCH(AA21,I$11:I$139,0))&gt;1),0,MATCH(AA21,I$11:I$139,0))+IF(OR(TYPE(AA21)&gt;1,TYPE(MATCH(AA21,O$11:O$139,0))&gt;1),0,MATCH(AA21,O$11:O$139,0))+IF(OR(TYPE(AA21)&gt;1,TYPE(MATCH(AA21,U$11:U$139,0))&gt;1),0,MATCH(U21,U$11:U$139,0))+IF(OR(TYPE(AA21)&gt;1,TYPE(MATCH(AA21,AA22:AA$139,0))&gt;1),0,MATCH(AA21,AA22:AA$139,0))</f>
        <v>0</v>
      </c>
      <c r="AR21" s="395">
        <f t="shared" ca="1" si="14"/>
        <v>0</v>
      </c>
      <c r="BF21" s="395">
        <f t="shared" si="15"/>
        <v>11</v>
      </c>
    </row>
    <row r="22" spans="1:58" ht="12.9">
      <c r="A22" s="387">
        <f t="shared" ca="1" si="0"/>
        <v>3</v>
      </c>
      <c r="B22" s="387">
        <f t="shared" ca="1" si="1"/>
        <v>1</v>
      </c>
      <c r="C22" s="387">
        <f t="shared" ca="1" si="2"/>
        <v>100.626</v>
      </c>
      <c r="D22" s="387">
        <f t="shared" ca="1" si="3"/>
        <v>176</v>
      </c>
      <c r="E22" s="387">
        <f t="shared" ca="1" si="4"/>
        <v>42</v>
      </c>
      <c r="F22" s="417" t="str">
        <f t="shared" ca="1" si="5"/>
        <v>91100626999823999957755823</v>
      </c>
      <c r="G22" s="453" t="b">
        <f t="shared" ca="1" si="6"/>
        <v>0</v>
      </c>
      <c r="H22" s="454">
        <f t="shared" si="7"/>
        <v>12</v>
      </c>
      <c r="I22" s="455">
        <f t="shared" ca="1" si="8"/>
        <v>18136</v>
      </c>
      <c r="J22" s="456" t="str">
        <f ca="1">IF(N(I22)&gt;0,VLOOKUP(I22,Hraci!$A$1:$I$1500,2,0),IF(TYPE(INDIRECT(ADDRESS(ROW() + $A$9-9 + (ROW()-11)*4,2,1,1,"Internet")))&gt;1,INDIRECT(ADDRESS(ROW() + $A$9-9 + (ROW()-11)*4,2,1,1,"Internet"))," "))</f>
        <v>Hanák</v>
      </c>
      <c r="K22" s="457" t="str">
        <f ca="1">IF(N(I22)&gt;0,VLOOKUP(I22,Hraci!$A$1:$I$1500,3,0)," ")</f>
        <v>Pavel</v>
      </c>
      <c r="L22" s="457" t="str">
        <f ca="1">IF(N(I22)&gt;0,VLOOKUP(I22,Hraci!$A$1:$I$1500,5,0),IF(TYPE(INDIRECT(ADDRESS(ROW() + $A$9-9 + (ROW()-11)*4,3,1,1,"Internet")))&gt;1,INDIRECT(ADDRESS(ROW() + $A$9-9 + (ROW()-11)*4,3,1,1,"Internet"))," "))</f>
        <v>Orel Řečkovice</v>
      </c>
      <c r="M22" s="395">
        <f ca="1">IF(N(I22)=0,9999,VLOOKUP(I22,Hraci!$A$1:$I$1500,8,0))</f>
        <v>42</v>
      </c>
      <c r="N22" s="458">
        <f ca="1">IF(N(I22)=0,0,VLOOKUP(I22,Hraci!$A$1:$I$1500,9,0))</f>
        <v>34.563000000000002</v>
      </c>
      <c r="O22" s="455">
        <f t="shared" ca="1" si="9"/>
        <v>16105</v>
      </c>
      <c r="P22" s="456" t="str">
        <f ca="1">IF(N(O22)&gt;0,VLOOKUP(O22,Hraci!$A$1:$I$1500,2,0),IF(TYPE(INDIRECT(ADDRESS(ROW() + $A$9-8 + (ROW()-11)*4,2,1,1,"Internet")))&gt;1,INDIRECT(ADDRESS(ROW() + $A$9-8 + (ROW()-11)*4,2,1,1,"Internet"))," "))</f>
        <v>Krpec</v>
      </c>
      <c r="Q22" s="457" t="str">
        <f ca="1">IF(N(O22)&gt;0,VLOOKUP(O22,Hraci!$A$1:$I$1500,3,0)," ")</f>
        <v>František</v>
      </c>
      <c r="R22" s="457" t="str">
        <f ca="1">IF(N(O22)&gt;0,VLOOKUP(O22,Hraci!$A$1:$I$1500,5,0),IF(TYPE(INDIRECT(ADDRESS(ROW() + $A$9-8 + (ROW()-11)*4,3,1,1,"Internet")))&gt;1,INDIRECT(ADDRESS(ROW() + $A$9-8 + (ROW()-11)*4,3,1,1,"Internet"))," "))</f>
        <v>HRODE KRUMSÍN</v>
      </c>
      <c r="S22" s="395">
        <f ca="1">IF(N(O22)=0,9999,VLOOKUP(O22,Hraci!$A$1:$I$1500,8,0))</f>
        <v>71</v>
      </c>
      <c r="T22" s="458">
        <f ca="1">IF(N(O22)=0,0,VLOOKUP(O22,Hraci!$A$1:$I$1500,9,0))</f>
        <v>30.062999999999999</v>
      </c>
      <c r="U22" s="455">
        <f t="shared" ca="1" si="10"/>
        <v>13060</v>
      </c>
      <c r="V22" s="456" t="str">
        <f ca="1">IF(N(U22)&gt;0,VLOOKUP(U22,Hraci!$A$1:$I$1500,2,0),IF(TYPE(INDIRECT(ADDRESS(ROW() + $A$9-7 + (ROW()-11)*4,2,1,1,"Internet")))&gt;1,INDIRECT(ADDRESS(ROW() + $A$9-7 + (ROW()-11)*4,2,1,1,"Internet"))," "))</f>
        <v>Janík</v>
      </c>
      <c r="W22" s="457" t="str">
        <f ca="1">IF(N(U22)&gt;0,VLOOKUP(U22,Hraci!$A$1:$I$1500,3,0)," ")</f>
        <v>Petr</v>
      </c>
      <c r="X22" s="457" t="str">
        <f ca="1">IF(N(U22)&gt;0,VLOOKUP(U22,Hraci!$A$1:$I$1500,5,0),IF(TYPE(INDIRECT(ADDRESS(ROW() + $A$9-7 + (ROW()-11)*4,3,1,1,"Internet")))&gt;1,INDIRECT(ADDRESS(ROW() + $A$9-7 + (ROW()-11)*4,3,1,1,"Internet"))," "))</f>
        <v>P.C.B.D.</v>
      </c>
      <c r="Y22" s="395">
        <f ca="1">IF(N(U22)=0,9999,VLOOKUP(U22,Hraci!$A$1:$I$1500,8,0))</f>
        <v>63</v>
      </c>
      <c r="Z22" s="458">
        <f ca="1">IF(N(U22)=0,0,VLOOKUP(U22,Hraci!$A$1:$I$1500,9,0))</f>
        <v>36</v>
      </c>
      <c r="AA22" s="455" t="str">
        <f t="shared" ca="1" si="11"/>
        <v/>
      </c>
      <c r="AB22" s="456" t="str">
        <f ca="1">IF(N(AA22)&gt;0,VLOOKUP(AA22,Hraci!$A$1:$I$1500,2,0)," ")</f>
        <v xml:space="preserve"> </v>
      </c>
      <c r="AC22" s="457" t="str">
        <f ca="1">IF(N(AA22)&gt;0,VLOOKUP(AA22,Hraci!$A$1:$I$1500,3,0)," ")</f>
        <v xml:space="preserve"> </v>
      </c>
      <c r="AD22" s="457" t="str">
        <f ca="1">IF(N(AA22)&gt;0,VLOOKUP(AA22,Hraci!$A$1:$I$1500,5,0)," ")</f>
        <v xml:space="preserve"> </v>
      </c>
      <c r="AE22" s="395">
        <f ca="1">IF(N(AA22)=0,9999,VLOOKUP(AA22,Hraci!$A$1:$I$1500,8,0))</f>
        <v>9999</v>
      </c>
      <c r="AF22" s="458">
        <f ca="1">IF(N(AA22)=0,0,VLOOKUP(AA22,Hraci!$A$1:$I$1500,9,0))</f>
        <v>0</v>
      </c>
      <c r="AG22" s="459"/>
      <c r="AH22" s="465">
        <f ca="1">IF(TYPE(VLOOKUP(H22,Nasazení!$A$3:$E$130,5,0))&lt;4,VLOOKUP(H22,Nasazení!$A$3:$E$130,5,0),0)</f>
        <v>32</v>
      </c>
      <c r="AI22" s="460">
        <f ca="1">IF(N($AH22)&gt;0,VLOOKUP($AH22,Body!$A$4:$F$259,5,0),"")</f>
        <v>38.074437500000002</v>
      </c>
      <c r="AJ22" s="461">
        <f ca="1">IF(N($AH22)&gt;0,VLOOKUP($AH22,Body!$A$4:$F$259,6,0),"")</f>
        <v>0</v>
      </c>
      <c r="AK22" s="460">
        <f ca="1">IF(N($AH22)&gt;0,VLOOKUP($AH22,Body!$A$4:$F$259,2,0),"")</f>
        <v>1</v>
      </c>
      <c r="AL22" s="462" t="str">
        <f t="shared" ca="1" si="12"/>
        <v>12 Orel Řečkovice - Hanák Pavel</v>
      </c>
      <c r="AM22" s="463">
        <f t="shared" ca="1" si="13"/>
        <v>100.626</v>
      </c>
      <c r="AN22" s="395">
        <f ca="1">IF(OR(TYPE(I22)&gt;1,TYPE(MATCH(I22,I23:I$139,0))&gt;1),0,MATCH(I22,I23:I$139,0))+IF(OR(TYPE(I22)&gt;1,TYPE(MATCH(I22,O$11:O$139,0))&gt;1),0,MATCH(I22,O$11:O$139,0))+IF(OR(TYPE(I22)&gt;1,TYPE(MATCH(I22,U$11:U$139,0))&gt;1),0,MATCH(I22,U$11:U$139,0))+IF(OR(TYPE(I22)&gt;1,TYPE(MATCH(I22,AA$11:AA$139,0))&gt;1),0,MATCH(I22,AA$11:AA$139,0))</f>
        <v>0</v>
      </c>
      <c r="AO22" s="395">
        <f ca="1">IF(OR(TYPE(O22)&gt;1,TYPE(MATCH(O22,I$11:I$139,0))&gt;1),0,MATCH(O22,I$11:I$139,0))+IF(OR(TYPE(O22)&gt;1,TYPE(MATCH(O22,O23:O$139,0))&gt;1),0,MATCH(O22,O23:O$139,0))+IF(OR(TYPE(O22)&gt;1,TYPE(MATCH(O22,U$11:U$139,0))&gt;1),0,MATCH(O22,U$11:U$139,0))+IF(OR(TYPE(O22)&gt;1,TYPE(MATCH(O22,AA$11:AA$139,0))&gt;1),0,MATCH(O22,AA$11:AA$139,0))</f>
        <v>0</v>
      </c>
      <c r="AP22" s="395">
        <f ca="1">IF(OR(TYPE(U22)&gt;1,TYPE(MATCH(U22,I$11:I$139,0))&gt;1),0,MATCH(U22,I$11:I$139,0))+IF(OR(TYPE(U22)&gt;1,TYPE(MATCH(U22,O$11:O$139,0))&gt;1),0,MATCH(U22,O$11:O$139,0))+IF(OR(TYPE(U22)&gt;1,TYPE(MATCH(U22,U23:U$139,0))&gt;1),0,MATCH(U22,U23:U$139,0))+IF(OR(TYPE(U22)&gt;1,TYPE(MATCH(U22,AA$11:AA$139,0))&gt;1),0,MATCH(U22,AA$11:AA$139,0))</f>
        <v>0</v>
      </c>
      <c r="AQ22" s="395">
        <f ca="1">IF(OR(TYPE(AA22)&gt;1,TYPE(MATCH(AA22,I$11:I$139,0))&gt;1),0,MATCH(AA22,I$11:I$139,0))+IF(OR(TYPE(AA22)&gt;1,TYPE(MATCH(AA22,O$11:O$139,0))&gt;1),0,MATCH(AA22,O$11:O$139,0))+IF(OR(TYPE(AA22)&gt;1,TYPE(MATCH(AA22,U$11:U$139,0))&gt;1),0,MATCH(U22,U$11:U$139,0))+IF(OR(TYPE(AA22)&gt;1,TYPE(MATCH(AA22,AA23:AA$139,0))&gt;1),0,MATCH(AA22,AA23:AA$139,0))</f>
        <v>0</v>
      </c>
      <c r="AR22" s="395">
        <f t="shared" ca="1" si="14"/>
        <v>0</v>
      </c>
      <c r="BF22" s="395">
        <f t="shared" si="15"/>
        <v>12</v>
      </c>
    </row>
    <row r="23" spans="1:58" ht="12.9">
      <c r="A23" s="387">
        <f t="shared" ca="1" si="0"/>
        <v>3</v>
      </c>
      <c r="B23" s="387">
        <f t="shared" ca="1" si="1"/>
        <v>1</v>
      </c>
      <c r="C23" s="387">
        <f t="shared" ca="1" si="2"/>
        <v>99.343999999999994</v>
      </c>
      <c r="D23" s="387">
        <f t="shared" ca="1" si="3"/>
        <v>195</v>
      </c>
      <c r="E23" s="387">
        <f t="shared" ca="1" si="4"/>
        <v>48</v>
      </c>
      <c r="F23" s="417" t="str">
        <f t="shared" ca="1" si="5"/>
        <v>91099344999804999951942170</v>
      </c>
      <c r="G23" s="453" t="b">
        <f t="shared" ca="1" si="6"/>
        <v>0</v>
      </c>
      <c r="H23" s="454">
        <f t="shared" si="7"/>
        <v>13</v>
      </c>
      <c r="I23" s="455">
        <f t="shared" ca="1" si="8"/>
        <v>18065</v>
      </c>
      <c r="J23" s="456" t="str">
        <f ca="1">IF(N(I23)&gt;0,VLOOKUP(I23,Hraci!$A$1:$I$1500,2,0),IF(TYPE(INDIRECT(ADDRESS(ROW() + $A$9-9 + (ROW()-11)*4,2,1,1,"Internet")))&gt;1,INDIRECT(ADDRESS(ROW() + $A$9-9 + (ROW()-11)*4,2,1,1,"Internet"))," "))</f>
        <v>Valošek</v>
      </c>
      <c r="K23" s="457" t="str">
        <f ca="1">IF(N(I23)&gt;0,VLOOKUP(I23,Hraci!$A$1:$I$1500,3,0)," ")</f>
        <v>Radim</v>
      </c>
      <c r="L23" s="457" t="str">
        <f ca="1">IF(N(I23)&gt;0,VLOOKUP(I23,Hraci!$A$1:$I$1500,5,0),IF(TYPE(INDIRECT(ADDRESS(ROW() + $A$9-9 + (ROW()-11)*4,3,1,1,"Internet")))&gt;1,INDIRECT(ADDRESS(ROW() + $A$9-9 + (ROW()-11)*4,3,1,1,"Internet"))," "))</f>
        <v>PK Polouvsí</v>
      </c>
      <c r="M23" s="395">
        <f ca="1">IF(N(I23)=0,9999,VLOOKUP(I23,Hraci!$A$1:$I$1500,8,0))</f>
        <v>68</v>
      </c>
      <c r="N23" s="458">
        <f ca="1">IF(N(I23)=0,0,VLOOKUP(I23,Hraci!$A$1:$I$1500,9,0))</f>
        <v>29.719000000000001</v>
      </c>
      <c r="O23" s="455">
        <f t="shared" ca="1" si="9"/>
        <v>22181</v>
      </c>
      <c r="P23" s="456" t="str">
        <f ca="1">IF(N(O23)&gt;0,VLOOKUP(O23,Hraci!$A$1:$I$1500,2,0),IF(TYPE(INDIRECT(ADDRESS(ROW() + $A$9-8 + (ROW()-11)*4,2,1,1,"Internet")))&gt;1,INDIRECT(ADDRESS(ROW() + $A$9-8 + (ROW()-11)*4,2,1,1,"Internet"))," "))</f>
        <v>Brandes</v>
      </c>
      <c r="Q23" s="457" t="str">
        <f ca="1">IF(N(O23)&gt;0,VLOOKUP(O23,Hraci!$A$1:$I$1500,3,0)," ")</f>
        <v>Valter</v>
      </c>
      <c r="R23" s="457" t="str">
        <f ca="1">IF(N(O23)&gt;0,VLOOKUP(O23,Hraci!$A$1:$I$1500,5,0),IF(TYPE(INDIRECT(ADDRESS(ROW() + $A$9-8 + (ROW()-11)*4,3,1,1,"Internet")))&gt;1,INDIRECT(ADDRESS(ROW() + $A$9-8 + (ROW()-11)*4,3,1,1,"Internet"))," "))</f>
        <v>PC Damníkov</v>
      </c>
      <c r="S23" s="395">
        <f ca="1">IF(N(O23)=0,9999,VLOOKUP(O23,Hraci!$A$1:$I$1500,8,0))</f>
        <v>48</v>
      </c>
      <c r="T23" s="458">
        <f ca="1">IF(N(O23)=0,0,VLOOKUP(O23,Hraci!$A$1:$I$1500,9,0))</f>
        <v>35.375</v>
      </c>
      <c r="U23" s="455">
        <f t="shared" ca="1" si="10"/>
        <v>15001</v>
      </c>
      <c r="V23" s="456" t="str">
        <f ca="1">IF(N(U23)&gt;0,VLOOKUP(U23,Hraci!$A$1:$I$1500,2,0),IF(TYPE(INDIRECT(ADDRESS(ROW() + $A$9-7 + (ROW()-11)*4,2,1,1,"Internet")))&gt;1,INDIRECT(ADDRESS(ROW() + $A$9-7 + (ROW()-11)*4,2,1,1,"Internet"))," "))</f>
        <v>Ulmann</v>
      </c>
      <c r="W23" s="457" t="str">
        <f ca="1">IF(N(U23)&gt;0,VLOOKUP(U23,Hraci!$A$1:$I$1500,3,0)," ")</f>
        <v>Jiří</v>
      </c>
      <c r="X23" s="457" t="str">
        <f ca="1">IF(N(U23)&gt;0,VLOOKUP(U23,Hraci!$A$1:$I$1500,5,0),IF(TYPE(INDIRECT(ADDRESS(ROW() + $A$9-7 + (ROW()-11)*4,3,1,1,"Internet")))&gt;1,INDIRECT(ADDRESS(ROW() + $A$9-7 + (ROW()-11)*4,3,1,1,"Internet"))," "))</f>
        <v>TOP - ORLOVÁ</v>
      </c>
      <c r="Y23" s="395">
        <f ca="1">IF(N(U23)=0,9999,VLOOKUP(U23,Hraci!$A$1:$I$1500,8,0))</f>
        <v>79</v>
      </c>
      <c r="Z23" s="458">
        <f ca="1">IF(N(U23)=0,0,VLOOKUP(U23,Hraci!$A$1:$I$1500,9,0))</f>
        <v>34.25</v>
      </c>
      <c r="AA23" s="455" t="str">
        <f t="shared" ca="1" si="11"/>
        <v/>
      </c>
      <c r="AB23" s="456" t="str">
        <f ca="1">IF(N(AA23)&gt;0,VLOOKUP(AA23,Hraci!$A$1:$I$1500,2,0)," ")</f>
        <v xml:space="preserve"> </v>
      </c>
      <c r="AC23" s="457" t="str">
        <f ca="1">IF(N(AA23)&gt;0,VLOOKUP(AA23,Hraci!$A$1:$I$1500,3,0)," ")</f>
        <v xml:space="preserve"> </v>
      </c>
      <c r="AD23" s="457" t="str">
        <f ca="1">IF(N(AA23)&gt;0,VLOOKUP(AA23,Hraci!$A$1:$I$1500,5,0)," ")</f>
        <v xml:space="preserve"> </v>
      </c>
      <c r="AE23" s="395">
        <f ca="1">IF(N(AA23)=0,9999,VLOOKUP(AA23,Hraci!$A$1:$I$1500,8,0))</f>
        <v>9999</v>
      </c>
      <c r="AF23" s="458">
        <f ca="1">IF(N(AA23)=0,0,VLOOKUP(AA23,Hraci!$A$1:$I$1500,9,0))</f>
        <v>0</v>
      </c>
      <c r="AG23" s="459"/>
      <c r="AH23" s="465">
        <f ca="1">IF(TYPE(VLOOKUP(H23,Nasazení!$A$3:$E$130,5,0))&lt;4,VLOOKUP(H23,Nasazení!$A$3:$E$130,5,0),0)</f>
        <v>32</v>
      </c>
      <c r="AI23" s="460">
        <f ca="1">IF(N($AH23)&gt;0,VLOOKUP($AH23,Body!$A$4:$F$259,5,0),"")</f>
        <v>38.074437500000002</v>
      </c>
      <c r="AJ23" s="461">
        <f ca="1">IF(N($AH23)&gt;0,VLOOKUP($AH23,Body!$A$4:$F$259,6,0),"")</f>
        <v>0</v>
      </c>
      <c r="AK23" s="460">
        <f ca="1">IF(N($AH23)&gt;0,VLOOKUP($AH23,Body!$A$4:$F$259,2,0),"")</f>
        <v>1</v>
      </c>
      <c r="AL23" s="462" t="str">
        <f t="shared" ca="1" si="12"/>
        <v>13 PK Polouvsí - Valošek Radim</v>
      </c>
      <c r="AM23" s="463">
        <f t="shared" ca="1" si="13"/>
        <v>99.343999999999994</v>
      </c>
      <c r="AN23" s="395">
        <f ca="1">IF(OR(TYPE(I23)&gt;1,TYPE(MATCH(I23,I24:I$139,0))&gt;1),0,MATCH(I23,I24:I$139,0))+IF(OR(TYPE(I23)&gt;1,TYPE(MATCH(I23,O$11:O$139,0))&gt;1),0,MATCH(I23,O$11:O$139,0))+IF(OR(TYPE(I23)&gt;1,TYPE(MATCH(I23,U$11:U$139,0))&gt;1),0,MATCH(I23,U$11:U$139,0))+IF(OR(TYPE(I23)&gt;1,TYPE(MATCH(I23,AA$11:AA$139,0))&gt;1),0,MATCH(I23,AA$11:AA$139,0))</f>
        <v>0</v>
      </c>
      <c r="AO23" s="395">
        <f ca="1">IF(OR(TYPE(O23)&gt;1,TYPE(MATCH(O23,I$11:I$139,0))&gt;1),0,MATCH(O23,I$11:I$139,0))+IF(OR(TYPE(O23)&gt;1,TYPE(MATCH(O23,O24:O$139,0))&gt;1),0,MATCH(O23,O24:O$139,0))+IF(OR(TYPE(O23)&gt;1,TYPE(MATCH(O23,U$11:U$139,0))&gt;1),0,MATCH(O23,U$11:U$139,0))+IF(OR(TYPE(O23)&gt;1,TYPE(MATCH(O23,AA$11:AA$139,0))&gt;1),0,MATCH(O23,AA$11:AA$139,0))</f>
        <v>0</v>
      </c>
      <c r="AP23" s="395">
        <f ca="1">IF(OR(TYPE(U23)&gt;1,TYPE(MATCH(U23,I$11:I$139,0))&gt;1),0,MATCH(U23,I$11:I$139,0))+IF(OR(TYPE(U23)&gt;1,TYPE(MATCH(U23,O$11:O$139,0))&gt;1),0,MATCH(U23,O$11:O$139,0))+IF(OR(TYPE(U23)&gt;1,TYPE(MATCH(U23,U24:U$139,0))&gt;1),0,MATCH(U23,U24:U$139,0))+IF(OR(TYPE(U23)&gt;1,TYPE(MATCH(U23,AA$11:AA$139,0))&gt;1),0,MATCH(U23,AA$11:AA$139,0))</f>
        <v>0</v>
      </c>
      <c r="AQ23" s="395">
        <f ca="1">IF(OR(TYPE(AA23)&gt;1,TYPE(MATCH(AA23,I$11:I$139,0))&gt;1),0,MATCH(AA23,I$11:I$139,0))+IF(OR(TYPE(AA23)&gt;1,TYPE(MATCH(AA23,O$11:O$139,0))&gt;1),0,MATCH(AA23,O$11:O$139,0))+IF(OR(TYPE(AA23)&gt;1,TYPE(MATCH(AA23,U$11:U$139,0))&gt;1),0,MATCH(U23,U$11:U$139,0))+IF(OR(TYPE(AA23)&gt;1,TYPE(MATCH(AA23,AA24:AA$139,0))&gt;1),0,MATCH(AA23,AA24:AA$139,0))</f>
        <v>0</v>
      </c>
      <c r="AR23" s="395">
        <f t="shared" ca="1" si="14"/>
        <v>0</v>
      </c>
      <c r="BF23" s="395">
        <f t="shared" si="15"/>
        <v>13</v>
      </c>
    </row>
    <row r="24" spans="1:58" ht="12.9">
      <c r="A24" s="387">
        <f t="shared" ca="1" si="0"/>
        <v>3</v>
      </c>
      <c r="B24" s="387">
        <f t="shared" ca="1" si="1"/>
        <v>1</v>
      </c>
      <c r="C24" s="387">
        <f t="shared" ca="1" si="2"/>
        <v>95.814999999999998</v>
      </c>
      <c r="D24" s="387">
        <f t="shared" ca="1" si="3"/>
        <v>225</v>
      </c>
      <c r="E24" s="387">
        <f t="shared" ca="1" si="4"/>
        <v>53</v>
      </c>
      <c r="F24" s="417" t="str">
        <f t="shared" ca="1" si="5"/>
        <v>91095815999774999946683517</v>
      </c>
      <c r="G24" s="453" t="b">
        <f t="shared" ca="1" si="6"/>
        <v>0</v>
      </c>
      <c r="H24" s="454">
        <f t="shared" si="7"/>
        <v>14</v>
      </c>
      <c r="I24" s="455">
        <f t="shared" ca="1" si="8"/>
        <v>22105</v>
      </c>
      <c r="J24" s="456" t="str">
        <f ca="1">IF(N(I24)&gt;0,VLOOKUP(I24,Hraci!$A$1:$I$1500,2,0),IF(TYPE(INDIRECT(ADDRESS(ROW() + $A$9-9 + (ROW()-11)*4,2,1,1,"Internet")))&gt;1,INDIRECT(ADDRESS(ROW() + $A$9-9 + (ROW()-11)*4,2,1,1,"Internet"))," "))</f>
        <v>Geislerová</v>
      </c>
      <c r="K24" s="457" t="str">
        <f ca="1">IF(N(I24)&gt;0,VLOOKUP(I24,Hraci!$A$1:$I$1500,3,0)," ")</f>
        <v>Veronika</v>
      </c>
      <c r="L24" s="457" t="str">
        <f ca="1">IF(N(I24)&gt;0,VLOOKUP(I24,Hraci!$A$1:$I$1500,5,0),IF(TYPE(INDIRECT(ADDRESS(ROW() + $A$9-9 + (ROW()-11)*4,3,1,1,"Internet")))&gt;1,INDIRECT(ADDRESS(ROW() + $A$9-9 + (ROW()-11)*4,3,1,1,"Internet"))," "))</f>
        <v>PEK Stolín</v>
      </c>
      <c r="M24" s="395">
        <f ca="1">IF(N(I24)=0,9999,VLOOKUP(I24,Hraci!$A$1:$I$1500,8,0))</f>
        <v>56</v>
      </c>
      <c r="N24" s="458">
        <f ca="1">IF(N(I24)=0,0,VLOOKUP(I24,Hraci!$A$1:$I$1500,9,0))</f>
        <v>36.750999999999998</v>
      </c>
      <c r="O24" s="455">
        <f t="shared" ca="1" si="9"/>
        <v>20676</v>
      </c>
      <c r="P24" s="456" t="str">
        <f ca="1">IF(N(O24)&gt;0,VLOOKUP(O24,Hraci!$A$1:$I$1500,2,0),IF(TYPE(INDIRECT(ADDRESS(ROW() + $A$9-8 + (ROW()-11)*4,2,1,1,"Internet")))&gt;1,INDIRECT(ADDRESS(ROW() + $A$9-8 + (ROW()-11)*4,2,1,1,"Internet"))," "))</f>
        <v>Hájková</v>
      </c>
      <c r="Q24" s="457" t="str">
        <f ca="1">IF(N(O24)&gt;0,VLOOKUP(O24,Hraci!$A$1:$I$1500,3,0)," ")</f>
        <v>Iveta</v>
      </c>
      <c r="R24" s="457" t="str">
        <f ca="1">IF(N(O24)&gt;0,VLOOKUP(O24,Hraci!$A$1:$I$1500,5,0),IF(TYPE(INDIRECT(ADDRESS(ROW() + $A$9-8 + (ROW()-11)*4,3,1,1,"Internet")))&gt;1,INDIRECT(ADDRESS(ROW() + $A$9-8 + (ROW()-11)*4,3,1,1,"Internet"))," "))</f>
        <v>PEK Stolín</v>
      </c>
      <c r="S24" s="395">
        <f ca="1">IF(N(O24)=0,9999,VLOOKUP(O24,Hraci!$A$1:$I$1500,8,0))</f>
        <v>116</v>
      </c>
      <c r="T24" s="458">
        <f ca="1">IF(N(O24)=0,0,VLOOKUP(O24,Hraci!$A$1:$I$1500,9,0))</f>
        <v>28.251000000000001</v>
      </c>
      <c r="U24" s="455">
        <f t="shared" ca="1" si="10"/>
        <v>20505</v>
      </c>
      <c r="V24" s="456" t="str">
        <f ca="1">IF(N(U24)&gt;0,VLOOKUP(U24,Hraci!$A$1:$I$1500,2,0),IF(TYPE(INDIRECT(ADDRESS(ROW() + $A$9-7 + (ROW()-11)*4,2,1,1,"Internet")))&gt;1,INDIRECT(ADDRESS(ROW() + $A$9-7 + (ROW()-11)*4,2,1,1,"Internet"))," "))</f>
        <v>Zdobinská</v>
      </c>
      <c r="W24" s="457" t="str">
        <f ca="1">IF(N(U24)&gt;0,VLOOKUP(U24,Hraci!$A$1:$I$1500,3,0)," ")</f>
        <v>Karolína</v>
      </c>
      <c r="X24" s="457" t="str">
        <f ca="1">IF(N(U24)&gt;0,VLOOKUP(U24,Hraci!$A$1:$I$1500,5,0),IF(TYPE(INDIRECT(ADDRESS(ROW() + $A$9-7 + (ROW()-11)*4,3,1,1,"Internet")))&gt;1,INDIRECT(ADDRESS(ROW() + $A$9-7 + (ROW()-11)*4,3,1,1,"Internet"))," "))</f>
        <v>PC Sokol Lipník</v>
      </c>
      <c r="Y24" s="395">
        <f ca="1">IF(N(U24)=0,9999,VLOOKUP(U24,Hraci!$A$1:$I$1500,8,0))</f>
        <v>53</v>
      </c>
      <c r="Z24" s="458">
        <f ca="1">IF(N(U24)=0,0,VLOOKUP(U24,Hraci!$A$1:$I$1500,9,0))</f>
        <v>30.812999999999999</v>
      </c>
      <c r="AA24" s="455" t="str">
        <f t="shared" ca="1" si="11"/>
        <v/>
      </c>
      <c r="AB24" s="456" t="str">
        <f ca="1">IF(N(AA24)&gt;0,VLOOKUP(AA24,Hraci!$A$1:$I$1500,2,0)," ")</f>
        <v xml:space="preserve"> </v>
      </c>
      <c r="AC24" s="457" t="str">
        <f ca="1">IF(N(AA24)&gt;0,VLOOKUP(AA24,Hraci!$A$1:$I$1500,3,0)," ")</f>
        <v xml:space="preserve"> </v>
      </c>
      <c r="AD24" s="457" t="str">
        <f ca="1">IF(N(AA24)&gt;0,VLOOKUP(AA24,Hraci!$A$1:$I$1500,5,0)," ")</f>
        <v xml:space="preserve"> </v>
      </c>
      <c r="AE24" s="395">
        <f ca="1">IF(N(AA24)=0,9999,VLOOKUP(AA24,Hraci!$A$1:$I$1500,8,0))</f>
        <v>9999</v>
      </c>
      <c r="AF24" s="458">
        <f ca="1">IF(N(AA24)=0,0,VLOOKUP(AA24,Hraci!$A$1:$I$1500,9,0))</f>
        <v>0</v>
      </c>
      <c r="AG24" s="459"/>
      <c r="AH24" s="465">
        <f ca="1">IF(TYPE(VLOOKUP(H24,Nasazení!$A$3:$E$130,5,0))&lt;4,VLOOKUP(H24,Nasazení!$A$3:$E$130,5,0),0)</f>
        <v>59</v>
      </c>
      <c r="AI24" s="460">
        <f ca="1">IF(N($AH24)&gt;0,VLOOKUP($AH24,Body!$A$4:$F$259,5,0),"")</f>
        <v>1</v>
      </c>
      <c r="AJ24" s="461">
        <f ca="1">IF(N($AH24)&gt;0,VLOOKUP($AH24,Body!$A$4:$F$259,6,0),"")</f>
        <v>0</v>
      </c>
      <c r="AK24" s="460">
        <f ca="1">IF(N($AH24)&gt;0,VLOOKUP($AH24,Body!$A$4:$F$259,2,0),"")</f>
        <v>0</v>
      </c>
      <c r="AL24" s="462" t="str">
        <f t="shared" ca="1" si="12"/>
        <v>14 PEK Stolín - Geislerová Veronika</v>
      </c>
      <c r="AM24" s="463">
        <f t="shared" ca="1" si="13"/>
        <v>95.814999999999998</v>
      </c>
      <c r="AN24" s="395">
        <f ca="1">IF(OR(TYPE(I24)&gt;1,TYPE(MATCH(I24,I25:I$139,0))&gt;1),0,MATCH(I24,I25:I$139,0))+IF(OR(TYPE(I24)&gt;1,TYPE(MATCH(I24,O$11:O$139,0))&gt;1),0,MATCH(I24,O$11:O$139,0))+IF(OR(TYPE(I24)&gt;1,TYPE(MATCH(I24,U$11:U$139,0))&gt;1),0,MATCH(I24,U$11:U$139,0))+IF(OR(TYPE(I24)&gt;1,TYPE(MATCH(I24,AA$11:AA$139,0))&gt;1),0,MATCH(I24,AA$11:AA$139,0))</f>
        <v>0</v>
      </c>
      <c r="AO24" s="395">
        <f ca="1">IF(OR(TYPE(O24)&gt;1,TYPE(MATCH(O24,I$11:I$139,0))&gt;1),0,MATCH(O24,I$11:I$139,0))+IF(OR(TYPE(O24)&gt;1,TYPE(MATCH(O24,O25:O$139,0))&gt;1),0,MATCH(O24,O25:O$139,0))+IF(OR(TYPE(O24)&gt;1,TYPE(MATCH(O24,U$11:U$139,0))&gt;1),0,MATCH(O24,U$11:U$139,0))+IF(OR(TYPE(O24)&gt;1,TYPE(MATCH(O24,AA$11:AA$139,0))&gt;1),0,MATCH(O24,AA$11:AA$139,0))</f>
        <v>0</v>
      </c>
      <c r="AP24" s="395">
        <f ca="1">IF(OR(TYPE(U24)&gt;1,TYPE(MATCH(U24,I$11:I$139,0))&gt;1),0,MATCH(U24,I$11:I$139,0))+IF(OR(TYPE(U24)&gt;1,TYPE(MATCH(U24,O$11:O$139,0))&gt;1),0,MATCH(U24,O$11:O$139,0))+IF(OR(TYPE(U24)&gt;1,TYPE(MATCH(U24,U25:U$139,0))&gt;1),0,MATCH(U24,U25:U$139,0))+IF(OR(TYPE(U24)&gt;1,TYPE(MATCH(U24,AA$11:AA$139,0))&gt;1),0,MATCH(U24,AA$11:AA$139,0))</f>
        <v>0</v>
      </c>
      <c r="AQ24" s="395">
        <f ca="1">IF(OR(TYPE(AA24)&gt;1,TYPE(MATCH(AA24,I$11:I$139,0))&gt;1),0,MATCH(AA24,I$11:I$139,0))+IF(OR(TYPE(AA24)&gt;1,TYPE(MATCH(AA24,O$11:O$139,0))&gt;1),0,MATCH(AA24,O$11:O$139,0))+IF(OR(TYPE(AA24)&gt;1,TYPE(MATCH(AA24,U$11:U$139,0))&gt;1),0,MATCH(U24,U$11:U$139,0))+IF(OR(TYPE(AA24)&gt;1,TYPE(MATCH(AA24,AA25:AA$139,0))&gt;1),0,MATCH(AA24,AA25:AA$139,0))</f>
        <v>0</v>
      </c>
      <c r="AR24" s="395">
        <f t="shared" ca="1" si="14"/>
        <v>0</v>
      </c>
      <c r="BF24" s="395">
        <f t="shared" si="15"/>
        <v>14</v>
      </c>
    </row>
    <row r="25" spans="1:58" ht="12.9">
      <c r="A25" s="387">
        <f t="shared" ca="1" si="0"/>
        <v>3</v>
      </c>
      <c r="B25" s="387">
        <f t="shared" ca="1" si="1"/>
        <v>1</v>
      </c>
      <c r="C25" s="387">
        <f t="shared" ca="1" si="2"/>
        <v>94.314000000000007</v>
      </c>
      <c r="D25" s="387">
        <f t="shared" ca="1" si="3"/>
        <v>192</v>
      </c>
      <c r="E25" s="387">
        <f t="shared" ca="1" si="4"/>
        <v>49</v>
      </c>
      <c r="F25" s="417" t="str">
        <f t="shared" ca="1" si="5"/>
        <v>91094314999807999950586769</v>
      </c>
      <c r="G25" s="453" t="b">
        <f t="shared" ca="1" si="6"/>
        <v>0</v>
      </c>
      <c r="H25" s="454">
        <f t="shared" si="7"/>
        <v>15</v>
      </c>
      <c r="I25" s="455">
        <f t="shared" ca="1" si="8"/>
        <v>96059</v>
      </c>
      <c r="J25" s="456" t="str">
        <f ca="1">IF(N(I25)&gt;0,VLOOKUP(I25,Hraci!$A$1:$I$1500,2,0),IF(TYPE(INDIRECT(ADDRESS(ROW() + $A$9-9 + (ROW()-11)*4,2,1,1,"Internet")))&gt;1,INDIRECT(ADDRESS(ROW() + $A$9-9 + (ROW()-11)*4,2,1,1,"Internet"))," "))</f>
        <v>Hančová</v>
      </c>
      <c r="K25" s="457" t="str">
        <f ca="1">IF(N(I25)&gt;0,VLOOKUP(I25,Hraci!$A$1:$I$1500,3,0)," ")</f>
        <v>Alice</v>
      </c>
      <c r="L25" s="457" t="str">
        <f ca="1">IF(N(I25)&gt;0,VLOOKUP(I25,Hraci!$A$1:$I$1500,5,0),IF(TYPE(INDIRECT(ADDRESS(ROW() + $A$9-9 + (ROW()-11)*4,3,1,1,"Internet")))&gt;1,INDIRECT(ADDRESS(ROW() + $A$9-9 + (ROW()-11)*4,3,1,1,"Internet"))," "))</f>
        <v>1. KPK Vrchlabí</v>
      </c>
      <c r="M25" s="395">
        <f ca="1">IF(N(I25)=0,9999,VLOOKUP(I25,Hraci!$A$1:$I$1500,8,0))</f>
        <v>77</v>
      </c>
      <c r="N25" s="458">
        <f ca="1">IF(N(I25)=0,0,VLOOKUP(I25,Hraci!$A$1:$I$1500,9,0))</f>
        <v>32.25</v>
      </c>
      <c r="O25" s="455">
        <f t="shared" ca="1" si="9"/>
        <v>25017</v>
      </c>
      <c r="P25" s="456" t="str">
        <f ca="1">IF(N(O25)&gt;0,VLOOKUP(O25,Hraci!$A$1:$I$1500,2,0),IF(TYPE(INDIRECT(ADDRESS(ROW() + $A$9-8 + (ROW()-11)*4,2,1,1,"Internet")))&gt;1,INDIRECT(ADDRESS(ROW() + $A$9-8 + (ROW()-11)*4,2,1,1,"Internet"))," "))</f>
        <v>Radoušová</v>
      </c>
      <c r="Q25" s="457" t="str">
        <f ca="1">IF(N(O25)&gt;0,VLOOKUP(O25,Hraci!$A$1:$I$1500,3,0)," ")</f>
        <v>Jana</v>
      </c>
      <c r="R25" s="457" t="str">
        <f ca="1">IF(N(O25)&gt;0,VLOOKUP(O25,Hraci!$A$1:$I$1500,5,0),IF(TYPE(INDIRECT(ADDRESS(ROW() + $A$9-8 + (ROW()-11)*4,3,1,1,"Internet")))&gt;1,INDIRECT(ADDRESS(ROW() + $A$9-8 + (ROW()-11)*4,3,1,1,"Internet"))," "))</f>
        <v>CdP Loděnice</v>
      </c>
      <c r="S25" s="395">
        <f ca="1">IF(N(O25)=0,9999,VLOOKUP(O25,Hraci!$A$1:$I$1500,8,0))</f>
        <v>49</v>
      </c>
      <c r="T25" s="458">
        <f ca="1">IF(N(O25)=0,0,VLOOKUP(O25,Hraci!$A$1:$I$1500,9,0))</f>
        <v>31.562999999999999</v>
      </c>
      <c r="U25" s="455">
        <f t="shared" ca="1" si="10"/>
        <v>29039</v>
      </c>
      <c r="V25" s="456" t="str">
        <f ca="1">IF(N(U25)&gt;0,VLOOKUP(U25,Hraci!$A$1:$I$1500,2,0),IF(TYPE(INDIRECT(ADDRESS(ROW() + $A$9-7 + (ROW()-11)*4,2,1,1,"Internet")))&gt;1,INDIRECT(ADDRESS(ROW() + $A$9-7 + (ROW()-11)*4,2,1,1,"Internet"))," "))</f>
        <v>Krpcová</v>
      </c>
      <c r="W25" s="457" t="str">
        <f ca="1">IF(N(U25)&gt;0,VLOOKUP(U25,Hraci!$A$1:$I$1500,3,0)," ")</f>
        <v>Jana</v>
      </c>
      <c r="X25" s="457" t="str">
        <f ca="1">IF(N(U25)&gt;0,VLOOKUP(U25,Hraci!$A$1:$I$1500,5,0),IF(TYPE(INDIRECT(ADDRESS(ROW() + $A$9-7 + (ROW()-11)*4,3,1,1,"Internet")))&gt;1,INDIRECT(ADDRESS(ROW() + $A$9-7 + (ROW()-11)*4,3,1,1,"Internet"))," "))</f>
        <v>HRODE KRUMSÍN</v>
      </c>
      <c r="Y25" s="395">
        <f ca="1">IF(N(U25)=0,9999,VLOOKUP(U25,Hraci!$A$1:$I$1500,8,0))</f>
        <v>66</v>
      </c>
      <c r="Z25" s="458">
        <f ca="1">IF(N(U25)=0,0,VLOOKUP(U25,Hraci!$A$1:$I$1500,9,0))</f>
        <v>30.501000000000001</v>
      </c>
      <c r="AA25" s="455">
        <f t="shared" ca="1" si="11"/>
        <v>12017</v>
      </c>
      <c r="AB25" s="456" t="str">
        <f ca="1">IF(N(AA25)&gt;0,VLOOKUP(AA25,Hraci!$A$1:$I$1500,2,0)," ")</f>
        <v>Tomášková</v>
      </c>
      <c r="AC25" s="457" t="str">
        <f ca="1">IF(N(AA25)&gt;0,VLOOKUP(AA25,Hraci!$A$1:$I$1500,3,0)," ")</f>
        <v>Dana</v>
      </c>
      <c r="AD25" s="457" t="str">
        <f ca="1">IF(N(AA25)&gt;0,VLOOKUP(AA25,Hraci!$A$1:$I$1500,5,0)," ")</f>
        <v>CdP Loděnice</v>
      </c>
      <c r="AE25" s="395">
        <f ca="1">IF(N(AA25)=0,9999,VLOOKUP(AA25,Hraci!$A$1:$I$1500,8,0))</f>
        <v>45</v>
      </c>
      <c r="AF25" s="458">
        <f ca="1">IF(N(AA25)=0,0,VLOOKUP(AA25,Hraci!$A$1:$I$1500,9,0))</f>
        <v>28</v>
      </c>
      <c r="AG25" s="459"/>
      <c r="AH25" s="465">
        <f ca="1">IF(TYPE(VLOOKUP(H25,Nasazení!$A$3:$E$130,5,0))&lt;4,VLOOKUP(H25,Nasazení!$A$3:$E$130,5,0),0)</f>
        <v>32</v>
      </c>
      <c r="AI25" s="460">
        <f ca="1">IF(N($AH25)&gt;0,VLOOKUP($AH25,Body!$A$4:$F$259,5,0),"")</f>
        <v>38.074437500000002</v>
      </c>
      <c r="AJ25" s="461">
        <f ca="1">IF(N($AH25)&gt;0,VLOOKUP($AH25,Body!$A$4:$F$259,6,0),"")</f>
        <v>0</v>
      </c>
      <c r="AK25" s="460">
        <f ca="1">IF(N($AH25)&gt;0,VLOOKUP($AH25,Body!$A$4:$F$259,2,0),"")</f>
        <v>1</v>
      </c>
      <c r="AL25" s="462" t="str">
        <f t="shared" ca="1" si="12"/>
        <v>15 1. KPK Vrchlabí - Hančová Alice</v>
      </c>
      <c r="AM25" s="463">
        <f t="shared" ca="1" si="13"/>
        <v>94.314000000000007</v>
      </c>
      <c r="AN25" s="395">
        <f ca="1">IF(OR(TYPE(I25)&gt;1,TYPE(MATCH(I25,I26:I$139,0))&gt;1),0,MATCH(I25,I26:I$139,0))+IF(OR(TYPE(I25)&gt;1,TYPE(MATCH(I25,O$11:O$139,0))&gt;1),0,MATCH(I25,O$11:O$139,0))+IF(OR(TYPE(I25)&gt;1,TYPE(MATCH(I25,U$11:U$139,0))&gt;1),0,MATCH(I25,U$11:U$139,0))+IF(OR(TYPE(I25)&gt;1,TYPE(MATCH(I25,AA$11:AA$139,0))&gt;1),0,MATCH(I25,AA$11:AA$139,0))</f>
        <v>0</v>
      </c>
      <c r="AO25" s="395">
        <f ca="1">IF(OR(TYPE(O25)&gt;1,TYPE(MATCH(O25,I$11:I$139,0))&gt;1),0,MATCH(O25,I$11:I$139,0))+IF(OR(TYPE(O25)&gt;1,TYPE(MATCH(O25,O26:O$139,0))&gt;1),0,MATCH(O25,O26:O$139,0))+IF(OR(TYPE(O25)&gt;1,TYPE(MATCH(O25,U$11:U$139,0))&gt;1),0,MATCH(O25,U$11:U$139,0))+IF(OR(TYPE(O25)&gt;1,TYPE(MATCH(O25,AA$11:AA$139,0))&gt;1),0,MATCH(O25,AA$11:AA$139,0))</f>
        <v>0</v>
      </c>
      <c r="AP25" s="395">
        <f ca="1">IF(OR(TYPE(U25)&gt;1,TYPE(MATCH(U25,I$11:I$139,0))&gt;1),0,MATCH(U25,I$11:I$139,0))+IF(OR(TYPE(U25)&gt;1,TYPE(MATCH(U25,O$11:O$139,0))&gt;1),0,MATCH(U25,O$11:O$139,0))+IF(OR(TYPE(U25)&gt;1,TYPE(MATCH(U25,U26:U$139,0))&gt;1),0,MATCH(U25,U26:U$139,0))+IF(OR(TYPE(U25)&gt;1,TYPE(MATCH(U25,AA$11:AA$139,0))&gt;1),0,MATCH(U25,AA$11:AA$139,0))</f>
        <v>0</v>
      </c>
      <c r="AQ25" s="395">
        <f ca="1">IF(OR(TYPE(AA25)&gt;1,TYPE(MATCH(AA25,I$11:I$139,0))&gt;1),0,MATCH(AA25,I$11:I$139,0))+IF(OR(TYPE(AA25)&gt;1,TYPE(MATCH(AA25,O$11:O$139,0))&gt;1),0,MATCH(AA25,O$11:O$139,0))+IF(OR(TYPE(AA25)&gt;1,TYPE(MATCH(AA25,U$11:U$139,0))&gt;1),0,MATCH(U25,U$11:U$139,0))+IF(OR(TYPE(AA25)&gt;1,TYPE(MATCH(AA25,AA26:AA$139,0))&gt;1),0,MATCH(AA25,AA26:AA$139,0))</f>
        <v>0</v>
      </c>
      <c r="AR25" s="395">
        <f t="shared" ca="1" si="14"/>
        <v>0</v>
      </c>
      <c r="BF25" s="395">
        <f t="shared" si="15"/>
        <v>15</v>
      </c>
    </row>
    <row r="26" spans="1:58" ht="12.9">
      <c r="A26" s="387">
        <f t="shared" ca="1" si="0"/>
        <v>3</v>
      </c>
      <c r="B26" s="387">
        <f t="shared" ca="1" si="1"/>
        <v>1</v>
      </c>
      <c r="C26" s="387">
        <f t="shared" ca="1" si="2"/>
        <v>93.97</v>
      </c>
      <c r="D26" s="387">
        <f t="shared" ca="1" si="3"/>
        <v>274</v>
      </c>
      <c r="E26" s="387">
        <f t="shared" ca="1" si="4"/>
        <v>64</v>
      </c>
      <c r="F26" s="417" t="str">
        <f t="shared" ca="1" si="5"/>
        <v>91093970999725999935853995</v>
      </c>
      <c r="G26" s="453" t="b">
        <f t="shared" ca="1" si="6"/>
        <v>0</v>
      </c>
      <c r="H26" s="454">
        <f t="shared" si="7"/>
        <v>16</v>
      </c>
      <c r="I26" s="455">
        <f t="shared" ca="1" si="8"/>
        <v>13005</v>
      </c>
      <c r="J26" s="456" t="str">
        <f ca="1">IF(N(I26)&gt;0,VLOOKUP(I26,Hraci!$A$1:$I$1500,2,0),IF(TYPE(INDIRECT(ADDRESS(ROW() + $A$9-9 + (ROW()-11)*4,2,1,1,"Internet")))&gt;1,INDIRECT(ADDRESS(ROW() + $A$9-9 + (ROW()-11)*4,2,1,1,"Internet"))," "))</f>
        <v>Bureš st.</v>
      </c>
      <c r="K26" s="457" t="str">
        <f ca="1">IF(N(I26)&gt;0,VLOOKUP(I26,Hraci!$A$1:$I$1500,3,0)," ")</f>
        <v>Pavel</v>
      </c>
      <c r="L26" s="457" t="str">
        <f ca="1">IF(N(I26)&gt;0,VLOOKUP(I26,Hraci!$A$1:$I$1500,5,0),IF(TYPE(INDIRECT(ADDRESS(ROW() + $A$9-9 + (ROW()-11)*4,3,1,1,"Internet")))&gt;1,INDIRECT(ADDRESS(ROW() + $A$9-9 + (ROW()-11)*4,3,1,1,"Internet"))," "))</f>
        <v>HAPEK</v>
      </c>
      <c r="M26" s="395">
        <f ca="1">IF(N(I26)=0,9999,VLOOKUP(I26,Hraci!$A$1:$I$1500,8,0))</f>
        <v>89</v>
      </c>
      <c r="N26" s="458">
        <f ca="1">IF(N(I26)=0,0,VLOOKUP(I26,Hraci!$A$1:$I$1500,9,0))</f>
        <v>31.22</v>
      </c>
      <c r="O26" s="455">
        <f t="shared" ca="1" si="9"/>
        <v>21049</v>
      </c>
      <c r="P26" s="456" t="str">
        <f ca="1">IF(N(O26)&gt;0,VLOOKUP(O26,Hraci!$A$1:$I$1500,2,0),IF(TYPE(INDIRECT(ADDRESS(ROW() + $A$9-8 + (ROW()-11)*4,2,1,1,"Internet")))&gt;1,INDIRECT(ADDRESS(ROW() + $A$9-8 + (ROW()-11)*4,2,1,1,"Internet"))," "))</f>
        <v>Paulík</v>
      </c>
      <c r="Q26" s="457" t="str">
        <f ca="1">IF(N(O26)&gt;0,VLOOKUP(O26,Hraci!$A$1:$I$1500,3,0)," ")</f>
        <v>Robert</v>
      </c>
      <c r="R26" s="457" t="str">
        <f ca="1">IF(N(O26)&gt;0,VLOOKUP(O26,Hraci!$A$1:$I$1500,5,0),IF(TYPE(INDIRECT(ADDRESS(ROW() + $A$9-8 + (ROW()-11)*4,3,1,1,"Internet")))&gt;1,INDIRECT(ADDRESS(ROW() + $A$9-8 + (ROW()-11)*4,3,1,1,"Internet"))," "))</f>
        <v>SLOPE Brno</v>
      </c>
      <c r="S26" s="395">
        <f ca="1">IF(N(O26)=0,9999,VLOOKUP(O26,Hraci!$A$1:$I$1500,8,0))</f>
        <v>121</v>
      </c>
      <c r="T26" s="458">
        <f ca="1">IF(N(O26)=0,0,VLOOKUP(O26,Hraci!$A$1:$I$1500,9,0))</f>
        <v>33.75</v>
      </c>
      <c r="U26" s="455">
        <f t="shared" ca="1" si="10"/>
        <v>18132</v>
      </c>
      <c r="V26" s="456" t="str">
        <f ca="1">IF(N(U26)&gt;0,VLOOKUP(U26,Hraci!$A$1:$I$1500,2,0),IF(TYPE(INDIRECT(ADDRESS(ROW() + $A$9-7 + (ROW()-11)*4,2,1,1,"Internet")))&gt;1,INDIRECT(ADDRESS(ROW() + $A$9-7 + (ROW()-11)*4,2,1,1,"Internet"))," "))</f>
        <v>Vašíček</v>
      </c>
      <c r="W26" s="457" t="str">
        <f ca="1">IF(N(U26)&gt;0,VLOOKUP(U26,Hraci!$A$1:$I$1500,3,0)," ")</f>
        <v>Vladimír</v>
      </c>
      <c r="X26" s="457" t="str">
        <f ca="1">IF(N(U26)&gt;0,VLOOKUP(U26,Hraci!$A$1:$I$1500,5,0),IF(TYPE(INDIRECT(ADDRESS(ROW() + $A$9-7 + (ROW()-11)*4,3,1,1,"Internet")))&gt;1,INDIRECT(ADDRESS(ROW() + $A$9-7 + (ROW()-11)*4,3,1,1,"Internet"))," "))</f>
        <v>PK Polouvsí</v>
      </c>
      <c r="Y26" s="395">
        <f ca="1">IF(N(U26)=0,9999,VLOOKUP(U26,Hraci!$A$1:$I$1500,8,0))</f>
        <v>64</v>
      </c>
      <c r="Z26" s="458">
        <f ca="1">IF(N(U26)=0,0,VLOOKUP(U26,Hraci!$A$1:$I$1500,9,0))</f>
        <v>29</v>
      </c>
      <c r="AA26" s="455" t="str">
        <f t="shared" ca="1" si="11"/>
        <v/>
      </c>
      <c r="AB26" s="456" t="str">
        <f ca="1">IF(N(AA26)&gt;0,VLOOKUP(AA26,Hraci!$A$1:$I$1500,2,0)," ")</f>
        <v xml:space="preserve"> </v>
      </c>
      <c r="AC26" s="457" t="str">
        <f ca="1">IF(N(AA26)&gt;0,VLOOKUP(AA26,Hraci!$A$1:$I$1500,3,0)," ")</f>
        <v xml:space="preserve"> </v>
      </c>
      <c r="AD26" s="457" t="str">
        <f ca="1">IF(N(AA26)&gt;0,VLOOKUP(AA26,Hraci!$A$1:$I$1500,5,0)," ")</f>
        <v xml:space="preserve"> </v>
      </c>
      <c r="AE26" s="395">
        <f ca="1">IF(N(AA26)=0,9999,VLOOKUP(AA26,Hraci!$A$1:$I$1500,8,0))</f>
        <v>9999</v>
      </c>
      <c r="AF26" s="458">
        <f ca="1">IF(N(AA26)=0,0,VLOOKUP(AA26,Hraci!$A$1:$I$1500,9,0))</f>
        <v>0</v>
      </c>
      <c r="AG26" s="459"/>
      <c r="AH26" s="465">
        <f ca="1">IF(TYPE(VLOOKUP(H26,Nasazení!$A$3:$E$130,5,0))&lt;4,VLOOKUP(H26,Nasazení!$A$3:$E$130,5,0),0)</f>
        <v>32</v>
      </c>
      <c r="AI26" s="460">
        <f ca="1">IF(N($AH26)&gt;0,VLOOKUP($AH26,Body!$A$4:$F$259,5,0),"")</f>
        <v>38.074437500000002</v>
      </c>
      <c r="AJ26" s="461">
        <f ca="1">IF(N($AH26)&gt;0,VLOOKUP($AH26,Body!$A$4:$F$259,6,0),"")</f>
        <v>0</v>
      </c>
      <c r="AK26" s="460">
        <f ca="1">IF(N($AH26)&gt;0,VLOOKUP($AH26,Body!$A$4:$F$259,2,0),"")</f>
        <v>1</v>
      </c>
      <c r="AL26" s="462" t="str">
        <f t="shared" ca="1" si="12"/>
        <v>16 HAPEK - Bureš st. Pavel</v>
      </c>
      <c r="AM26" s="463">
        <f t="shared" ca="1" si="13"/>
        <v>93.97</v>
      </c>
      <c r="AN26" s="395">
        <f ca="1">IF(OR(TYPE(I26)&gt;1,TYPE(MATCH(I26,I27:I$139,0))&gt;1),0,MATCH(I26,I27:I$139,0))+IF(OR(TYPE(I26)&gt;1,TYPE(MATCH(I26,O$11:O$139,0))&gt;1),0,MATCH(I26,O$11:O$139,0))+IF(OR(TYPE(I26)&gt;1,TYPE(MATCH(I26,U$11:U$139,0))&gt;1),0,MATCH(I26,U$11:U$139,0))+IF(OR(TYPE(I26)&gt;1,TYPE(MATCH(I26,AA$11:AA$139,0))&gt;1),0,MATCH(I26,AA$11:AA$139,0))</f>
        <v>0</v>
      </c>
      <c r="AO26" s="395">
        <f ca="1">IF(OR(TYPE(O26)&gt;1,TYPE(MATCH(O26,I$11:I$139,0))&gt;1),0,MATCH(O26,I$11:I$139,0))+IF(OR(TYPE(O26)&gt;1,TYPE(MATCH(O26,O27:O$139,0))&gt;1),0,MATCH(O26,O27:O$139,0))+IF(OR(TYPE(O26)&gt;1,TYPE(MATCH(O26,U$11:U$139,0))&gt;1),0,MATCH(O26,U$11:U$139,0))+IF(OR(TYPE(O26)&gt;1,TYPE(MATCH(O26,AA$11:AA$139,0))&gt;1),0,MATCH(O26,AA$11:AA$139,0))</f>
        <v>0</v>
      </c>
      <c r="AP26" s="395">
        <f ca="1">IF(OR(TYPE(U26)&gt;1,TYPE(MATCH(U26,I$11:I$139,0))&gt;1),0,MATCH(U26,I$11:I$139,0))+IF(OR(TYPE(U26)&gt;1,TYPE(MATCH(U26,O$11:O$139,0))&gt;1),0,MATCH(U26,O$11:O$139,0))+IF(OR(TYPE(U26)&gt;1,TYPE(MATCH(U26,U27:U$139,0))&gt;1),0,MATCH(U26,U27:U$139,0))+IF(OR(TYPE(U26)&gt;1,TYPE(MATCH(U26,AA$11:AA$139,0))&gt;1),0,MATCH(U26,AA$11:AA$139,0))</f>
        <v>0</v>
      </c>
      <c r="AQ26" s="395">
        <f ca="1">IF(OR(TYPE(AA26)&gt;1,TYPE(MATCH(AA26,I$11:I$139,0))&gt;1),0,MATCH(AA26,I$11:I$139,0))+IF(OR(TYPE(AA26)&gt;1,TYPE(MATCH(AA26,O$11:O$139,0))&gt;1),0,MATCH(AA26,O$11:O$139,0))+IF(OR(TYPE(AA26)&gt;1,TYPE(MATCH(AA26,U$11:U$139,0))&gt;1),0,MATCH(U26,U$11:U$139,0))+IF(OR(TYPE(AA26)&gt;1,TYPE(MATCH(AA26,AA27:AA$139,0))&gt;1),0,MATCH(AA26,AA27:AA$139,0))</f>
        <v>0</v>
      </c>
      <c r="AR26" s="395">
        <f t="shared" ca="1" si="14"/>
        <v>0</v>
      </c>
      <c r="BF26" s="395">
        <f t="shared" si="15"/>
        <v>16</v>
      </c>
    </row>
    <row r="27" spans="1:58" ht="12.9">
      <c r="A27" s="387">
        <f t="shared" ca="1" si="0"/>
        <v>3</v>
      </c>
      <c r="B27" s="387">
        <f t="shared" ca="1" si="1"/>
        <v>1</v>
      </c>
      <c r="C27" s="387">
        <f t="shared" ca="1" si="2"/>
        <v>93.156999999999996</v>
      </c>
      <c r="D27" s="387">
        <f t="shared" ca="1" si="3"/>
        <v>287</v>
      </c>
      <c r="E27" s="387">
        <f t="shared" ca="1" si="4"/>
        <v>18</v>
      </c>
      <c r="F27" s="417" t="str">
        <f t="shared" ca="1" si="5"/>
        <v>91093157999712999981871102</v>
      </c>
      <c r="G27" s="453" t="b">
        <f t="shared" ca="1" si="6"/>
        <v>0</v>
      </c>
      <c r="H27" s="454">
        <f t="shared" si="7"/>
        <v>17</v>
      </c>
      <c r="I27" s="455">
        <f t="shared" ca="1" si="8"/>
        <v>99574</v>
      </c>
      <c r="J27" s="456" t="str">
        <f ca="1">IF(N(I27)&gt;0,VLOOKUP(I27,Hraci!$A$1:$I$1500,2,0),IF(TYPE(INDIRECT(ADDRESS(ROW() + $A$9-9 + (ROW()-11)*4,2,1,1,"Internet")))&gt;1,INDIRECT(ADDRESS(ROW() + $A$9-9 + (ROW()-11)*4,2,1,1,"Internet"))," "))</f>
        <v>Demčíková</v>
      </c>
      <c r="K27" s="457" t="str">
        <f ca="1">IF(N(I27)&gt;0,VLOOKUP(I27,Hraci!$A$1:$I$1500,3,0)," ")</f>
        <v>Jiřina</v>
      </c>
      <c r="L27" s="457" t="str">
        <f ca="1">IF(N(I27)&gt;0,VLOOKUP(I27,Hraci!$A$1:$I$1500,5,0),IF(TYPE(INDIRECT(ADDRESS(ROW() + $A$9-9 + (ROW()-11)*4,3,1,1,"Internet")))&gt;1,INDIRECT(ADDRESS(ROW() + $A$9-9 + (ROW()-11)*4,3,1,1,"Internet"))," "))</f>
        <v>SK Sahara Vědomice</v>
      </c>
      <c r="M27" s="395">
        <f ca="1">IF(N(I27)=0,9999,VLOOKUP(I27,Hraci!$A$1:$I$1500,8,0))</f>
        <v>18</v>
      </c>
      <c r="N27" s="458">
        <f ca="1">IF(N(I27)=0,0,VLOOKUP(I27,Hraci!$A$1:$I$1500,9,0))</f>
        <v>44.75</v>
      </c>
      <c r="O27" s="455">
        <f t="shared" ca="1" si="9"/>
        <v>26043</v>
      </c>
      <c r="P27" s="456" t="str">
        <f ca="1">IF(N(O27)&gt;0,VLOOKUP(O27,Hraci!$A$1:$I$1500,2,0),IF(TYPE(INDIRECT(ADDRESS(ROW() + $A$9-8 + (ROW()-11)*4,2,1,1,"Internet")))&gt;1,INDIRECT(ADDRESS(ROW() + $A$9-8 + (ROW()-11)*4,2,1,1,"Internet"))," "))</f>
        <v>Král</v>
      </c>
      <c r="Q27" s="457" t="str">
        <f ca="1">IF(N(O27)&gt;0,VLOOKUP(O27,Hraci!$A$1:$I$1500,3,0)," ")</f>
        <v>Pavel</v>
      </c>
      <c r="R27" s="457" t="str">
        <f ca="1">IF(N(O27)&gt;0,VLOOKUP(O27,Hraci!$A$1:$I$1500,5,0),IF(TYPE(INDIRECT(ADDRESS(ROW() + $A$9-8 + (ROW()-11)*4,3,1,1,"Internet")))&gt;1,INDIRECT(ADDRESS(ROW() + $A$9-8 + (ROW()-11)*4,3,1,1,"Internet"))," "))</f>
        <v>FENYX Adamov</v>
      </c>
      <c r="S27" s="395">
        <f ca="1">IF(N(O27)=0,9999,VLOOKUP(O27,Hraci!$A$1:$I$1500,8,0))</f>
        <v>102</v>
      </c>
      <c r="T27" s="458">
        <f ca="1">IF(N(O27)=0,0,VLOOKUP(O27,Hraci!$A$1:$I$1500,9,0))</f>
        <v>27.282</v>
      </c>
      <c r="U27" s="455">
        <f t="shared" ca="1" si="10"/>
        <v>16020</v>
      </c>
      <c r="V27" s="456" t="str">
        <f ca="1">IF(N(U27)&gt;0,VLOOKUP(U27,Hraci!$A$1:$I$1500,2,0),IF(TYPE(INDIRECT(ADDRESS(ROW() + $A$9-7 + (ROW()-11)*4,2,1,1,"Internet")))&gt;1,INDIRECT(ADDRESS(ROW() + $A$9-7 + (ROW()-11)*4,2,1,1,"Internet"))," "))</f>
        <v>Handl</v>
      </c>
      <c r="W27" s="457" t="str">
        <f ca="1">IF(N(U27)&gt;0,VLOOKUP(U27,Hraci!$A$1:$I$1500,3,0)," ")</f>
        <v>Zdeněk</v>
      </c>
      <c r="X27" s="457" t="str">
        <f ca="1">IF(N(U27)&gt;0,VLOOKUP(U27,Hraci!$A$1:$I$1500,5,0),IF(TYPE(INDIRECT(ADDRESS(ROW() + $A$9-7 + (ROW()-11)*4,3,1,1,"Internet")))&gt;1,INDIRECT(ADDRESS(ROW() + $A$9-7 + (ROW()-11)*4,3,1,1,"Internet"))," "))</f>
        <v>FENYX Adamov</v>
      </c>
      <c r="Y27" s="395">
        <f ca="1">IF(N(U27)=0,9999,VLOOKUP(U27,Hraci!$A$1:$I$1500,8,0))</f>
        <v>167</v>
      </c>
      <c r="Z27" s="458">
        <f ca="1">IF(N(U27)=0,0,VLOOKUP(U27,Hraci!$A$1:$I$1500,9,0))</f>
        <v>21.125</v>
      </c>
      <c r="AA27" s="455" t="str">
        <f t="shared" ca="1" si="11"/>
        <v/>
      </c>
      <c r="AB27" s="456" t="str">
        <f ca="1">IF(N(AA27)&gt;0,VLOOKUP(AA27,Hraci!$A$1:$I$1500,2,0)," ")</f>
        <v xml:space="preserve"> </v>
      </c>
      <c r="AC27" s="457" t="str">
        <f ca="1">IF(N(AA27)&gt;0,VLOOKUP(AA27,Hraci!$A$1:$I$1500,3,0)," ")</f>
        <v xml:space="preserve"> </v>
      </c>
      <c r="AD27" s="457" t="str">
        <f ca="1">IF(N(AA27)&gt;0,VLOOKUP(AA27,Hraci!$A$1:$I$1500,5,0)," ")</f>
        <v xml:space="preserve"> </v>
      </c>
      <c r="AE27" s="395">
        <f ca="1">IF(N(AA27)=0,9999,VLOOKUP(AA27,Hraci!$A$1:$I$1500,8,0))</f>
        <v>9999</v>
      </c>
      <c r="AF27" s="458">
        <f ca="1">IF(N(AA27)=0,0,VLOOKUP(AA27,Hraci!$A$1:$I$1500,9,0))</f>
        <v>0</v>
      </c>
      <c r="AG27" s="459"/>
      <c r="AH27" s="465">
        <f ca="1">IF(TYPE(VLOOKUP(H27,Nasazení!$A$3:$E$130,5,0))&lt;4,VLOOKUP(H27,Nasazení!$A$3:$E$130,5,0),0)</f>
        <v>5</v>
      </c>
      <c r="AI27" s="460">
        <f ca="1">IF(N($AH27)&gt;0,VLOOKUP($AH27,Body!$A$4:$F$259,5,0),"")</f>
        <v>142.779140625</v>
      </c>
      <c r="AJ27" s="461">
        <f ca="1">IF(N($AH27)&gt;0,VLOOKUP($AH27,Body!$A$4:$F$259,6,0),"")</f>
        <v>0</v>
      </c>
      <c r="AK27" s="460">
        <f ca="1">IF(N($AH27)&gt;0,VLOOKUP($AH27,Body!$A$4:$F$259,2,0),"")</f>
        <v>3.75</v>
      </c>
      <c r="AL27" s="462" t="str">
        <f t="shared" ca="1" si="12"/>
        <v>17 SK Sahara Vědomice - Demčíková Jiřina</v>
      </c>
      <c r="AM27" s="463">
        <f t="shared" ca="1" si="13"/>
        <v>93.156999999999996</v>
      </c>
      <c r="AN27" s="395">
        <f ca="1">IF(OR(TYPE(I27)&gt;1,TYPE(MATCH(I27,I28:I$139,0))&gt;1),0,MATCH(I27,I28:I$139,0))+IF(OR(TYPE(I27)&gt;1,TYPE(MATCH(I27,O$11:O$139,0))&gt;1),0,MATCH(I27,O$11:O$139,0))+IF(OR(TYPE(I27)&gt;1,TYPE(MATCH(I27,U$11:U$139,0))&gt;1),0,MATCH(I27,U$11:U$139,0))+IF(OR(TYPE(I27)&gt;1,TYPE(MATCH(I27,AA$11:AA$139,0))&gt;1),0,MATCH(I27,AA$11:AA$139,0))</f>
        <v>0</v>
      </c>
      <c r="AO27" s="395">
        <f ca="1">IF(OR(TYPE(O27)&gt;1,TYPE(MATCH(O27,I$11:I$139,0))&gt;1),0,MATCH(O27,I$11:I$139,0))+IF(OR(TYPE(O27)&gt;1,TYPE(MATCH(O27,O28:O$139,0))&gt;1),0,MATCH(O27,O28:O$139,0))+IF(OR(TYPE(O27)&gt;1,TYPE(MATCH(O27,U$11:U$139,0))&gt;1),0,MATCH(O27,U$11:U$139,0))+IF(OR(TYPE(O27)&gt;1,TYPE(MATCH(O27,AA$11:AA$139,0))&gt;1),0,MATCH(O27,AA$11:AA$139,0))</f>
        <v>0</v>
      </c>
      <c r="AP27" s="395">
        <f ca="1">IF(OR(TYPE(U27)&gt;1,TYPE(MATCH(U27,I$11:I$139,0))&gt;1),0,MATCH(U27,I$11:I$139,0))+IF(OR(TYPE(U27)&gt;1,TYPE(MATCH(U27,O$11:O$139,0))&gt;1),0,MATCH(U27,O$11:O$139,0))+IF(OR(TYPE(U27)&gt;1,TYPE(MATCH(U27,U28:U$139,0))&gt;1),0,MATCH(U27,U28:U$139,0))+IF(OR(TYPE(U27)&gt;1,TYPE(MATCH(U27,AA$11:AA$139,0))&gt;1),0,MATCH(U27,AA$11:AA$139,0))</f>
        <v>0</v>
      </c>
      <c r="AQ27" s="395">
        <f ca="1">IF(OR(TYPE(AA27)&gt;1,TYPE(MATCH(AA27,I$11:I$139,0))&gt;1),0,MATCH(AA27,I$11:I$139,0))+IF(OR(TYPE(AA27)&gt;1,TYPE(MATCH(AA27,O$11:O$139,0))&gt;1),0,MATCH(AA27,O$11:O$139,0))+IF(OR(TYPE(AA27)&gt;1,TYPE(MATCH(AA27,U$11:U$139,0))&gt;1),0,MATCH(U27,U$11:U$139,0))+IF(OR(TYPE(AA27)&gt;1,TYPE(MATCH(AA27,AA28:AA$139,0))&gt;1),0,MATCH(AA27,AA28:AA$139,0))</f>
        <v>0</v>
      </c>
      <c r="AR27" s="395">
        <f t="shared" ca="1" si="14"/>
        <v>0</v>
      </c>
      <c r="BF27" s="395">
        <f t="shared" si="15"/>
        <v>17</v>
      </c>
    </row>
    <row r="28" spans="1:58" ht="12.9">
      <c r="A28" s="387">
        <f t="shared" ca="1" si="0"/>
        <v>3</v>
      </c>
      <c r="B28" s="387">
        <f t="shared" ca="1" si="1"/>
        <v>1</v>
      </c>
      <c r="C28" s="387">
        <f t="shared" ca="1" si="2"/>
        <v>92.625</v>
      </c>
      <c r="D28" s="387">
        <f t="shared" ca="1" si="3"/>
        <v>376</v>
      </c>
      <c r="E28" s="387">
        <f t="shared" ca="1" si="4"/>
        <v>23</v>
      </c>
      <c r="F28" s="417" t="str">
        <f t="shared" ca="1" si="5"/>
        <v>91092625999623999976313052</v>
      </c>
      <c r="G28" s="453" t="b">
        <f t="shared" ca="1" si="6"/>
        <v>0</v>
      </c>
      <c r="H28" s="454">
        <f t="shared" si="7"/>
        <v>18</v>
      </c>
      <c r="I28" s="455">
        <f t="shared" ca="1" si="8"/>
        <v>26011</v>
      </c>
      <c r="J28" s="456" t="str">
        <f ca="1">IF(N(I28)&gt;0,VLOOKUP(I28,Hraci!$A$1:$I$1500,2,0),IF(TYPE(INDIRECT(ADDRESS(ROW() + $A$9-9 + (ROW()-11)*4,2,1,1,"Internet")))&gt;1,INDIRECT(ADDRESS(ROW() + $A$9-9 + (ROW()-11)*4,2,1,1,"Internet"))," "))</f>
        <v>Brázda</v>
      </c>
      <c r="K28" s="457" t="str">
        <f ca="1">IF(N(I28)&gt;0,VLOOKUP(I28,Hraci!$A$1:$I$1500,3,0)," ")</f>
        <v>Vladimír</v>
      </c>
      <c r="L28" s="457" t="str">
        <f ca="1">IF(N(I28)&gt;0,VLOOKUP(I28,Hraci!$A$1:$I$1500,5,0),IF(TYPE(INDIRECT(ADDRESS(ROW() + $A$9-9 + (ROW()-11)*4,3,1,1,"Internet")))&gt;1,INDIRECT(ADDRESS(ROW() + $A$9-9 + (ROW()-11)*4,3,1,1,"Internet"))," "))</f>
        <v>1. KPK Vrchlabí</v>
      </c>
      <c r="M28" s="395">
        <f ca="1">IF(N(I28)=0,9999,VLOOKUP(I28,Hraci!$A$1:$I$1500,8,0))</f>
        <v>29</v>
      </c>
      <c r="N28" s="458">
        <f ca="1">IF(N(I28)=0,0,VLOOKUP(I28,Hraci!$A$1:$I$1500,9,0))</f>
        <v>39.5</v>
      </c>
      <c r="O28" s="455">
        <f t="shared" ca="1" si="9"/>
        <v>22100</v>
      </c>
      <c r="P28" s="456" t="str">
        <f ca="1">IF(N(O28)&gt;0,VLOOKUP(O28,Hraci!$A$1:$I$1500,2,0),IF(TYPE(INDIRECT(ADDRESS(ROW() + $A$9-8 + (ROW()-11)*4,2,1,1,"Internet")))&gt;1,INDIRECT(ADDRESS(ROW() + $A$9-8 + (ROW()-11)*4,2,1,1,"Internet"))," "))</f>
        <v>Semeniv</v>
      </c>
      <c r="Q28" s="457" t="str">
        <f ca="1">IF(N(O28)&gt;0,VLOOKUP(O28,Hraci!$A$1:$I$1500,3,0)," ")</f>
        <v>Maryana Khrystyna</v>
      </c>
      <c r="R28" s="457" t="str">
        <f ca="1">IF(N(O28)&gt;0,VLOOKUP(O28,Hraci!$A$1:$I$1500,5,0),IF(TYPE(INDIRECT(ADDRESS(ROW() + $A$9-8 + (ROW()-11)*4,3,1,1,"Internet")))&gt;1,INDIRECT(ADDRESS(ROW() + $A$9-8 + (ROW()-11)*4,3,1,1,"Internet"))," "))</f>
        <v>1. KPK Vrchlabí</v>
      </c>
      <c r="S28" s="395">
        <f ca="1">IF(N(O28)=0,9999,VLOOKUP(O28,Hraci!$A$1:$I$1500,8,0))</f>
        <v>23</v>
      </c>
      <c r="T28" s="458">
        <f ca="1">IF(N(O28)=0,0,VLOOKUP(O28,Hraci!$A$1:$I$1500,9,0))</f>
        <v>42.5</v>
      </c>
      <c r="U28" s="455">
        <f t="shared" ca="1" si="10"/>
        <v>17033</v>
      </c>
      <c r="V28" s="456" t="str">
        <f ca="1">IF(N(U28)&gt;0,VLOOKUP(U28,Hraci!$A$1:$I$1500,2,0),IF(TYPE(INDIRECT(ADDRESS(ROW() + $A$9-7 + (ROW()-11)*4,2,1,1,"Internet")))&gt;1,INDIRECT(ADDRESS(ROW() + $A$9-7 + (ROW()-11)*4,2,1,1,"Internet"))," "))</f>
        <v>Kobr</v>
      </c>
      <c r="W28" s="457" t="str">
        <f ca="1">IF(N(U28)&gt;0,VLOOKUP(U28,Hraci!$A$1:$I$1500,3,0)," ")</f>
        <v>Štěpán</v>
      </c>
      <c r="X28" s="457" t="str">
        <f ca="1">IF(N(U28)&gt;0,VLOOKUP(U28,Hraci!$A$1:$I$1500,5,0),IF(TYPE(INDIRECT(ADDRESS(ROW() + $A$9-7 + (ROW()-11)*4,3,1,1,"Internet")))&gt;1,INDIRECT(ADDRESS(ROW() + $A$9-7 + (ROW()-11)*4,3,1,1,"Internet"))," "))</f>
        <v>1. KPK Vrchlabí</v>
      </c>
      <c r="Y28" s="395">
        <f ca="1">IF(N(U28)=0,9999,VLOOKUP(U28,Hraci!$A$1:$I$1500,8,0))</f>
        <v>324</v>
      </c>
      <c r="Z28" s="458">
        <f ca="1">IF(N(U28)=0,0,VLOOKUP(U28,Hraci!$A$1:$I$1500,9,0))</f>
        <v>10.625</v>
      </c>
      <c r="AA28" s="455" t="str">
        <f t="shared" ca="1" si="11"/>
        <v/>
      </c>
      <c r="AB28" s="456" t="str">
        <f ca="1">IF(N(AA28)&gt;0,VLOOKUP(AA28,Hraci!$A$1:$I$1500,2,0)," ")</f>
        <v xml:space="preserve"> </v>
      </c>
      <c r="AC28" s="457" t="str">
        <f ca="1">IF(N(AA28)&gt;0,VLOOKUP(AA28,Hraci!$A$1:$I$1500,3,0)," ")</f>
        <v xml:space="preserve"> </v>
      </c>
      <c r="AD28" s="457" t="str">
        <f ca="1">IF(N(AA28)&gt;0,VLOOKUP(AA28,Hraci!$A$1:$I$1500,5,0)," ")</f>
        <v xml:space="preserve"> </v>
      </c>
      <c r="AE28" s="395">
        <f ca="1">IF(N(AA28)=0,9999,VLOOKUP(AA28,Hraci!$A$1:$I$1500,8,0))</f>
        <v>9999</v>
      </c>
      <c r="AF28" s="458">
        <f ca="1">IF(N(AA28)=0,0,VLOOKUP(AA28,Hraci!$A$1:$I$1500,9,0))</f>
        <v>0</v>
      </c>
      <c r="AG28" s="459"/>
      <c r="AH28" s="465">
        <f ca="1">IF(TYPE(VLOOKUP(H28,Nasazení!$A$3:$E$130,5,0))&lt;4,VLOOKUP(H28,Nasazení!$A$3:$E$130,5,0),0)</f>
        <v>9</v>
      </c>
      <c r="AI28" s="460">
        <f ca="1">IF(N($AH28)&gt;0,VLOOKUP($AH28,Body!$A$4:$F$259,5,0),"")</f>
        <v>109.4640078125</v>
      </c>
      <c r="AJ28" s="461">
        <f ca="1">IF(N($AH28)&gt;0,VLOOKUP($AH28,Body!$A$4:$F$259,6,0),"")</f>
        <v>0</v>
      </c>
      <c r="AK28" s="460">
        <f ca="1">IF(N($AH28)&gt;0,VLOOKUP($AH28,Body!$A$4:$F$259,2,0),"")</f>
        <v>2.875</v>
      </c>
      <c r="AL28" s="462" t="str">
        <f t="shared" ca="1" si="12"/>
        <v>18 1. KPK Vrchlabí - Brázda Vladimír</v>
      </c>
      <c r="AM28" s="463">
        <f t="shared" ca="1" si="13"/>
        <v>92.625</v>
      </c>
      <c r="AN28" s="395">
        <f ca="1">IF(OR(TYPE(I28)&gt;1,TYPE(MATCH(I28,I29:I$139,0))&gt;1),0,MATCH(I28,I29:I$139,0))+IF(OR(TYPE(I28)&gt;1,TYPE(MATCH(I28,O$11:O$139,0))&gt;1),0,MATCH(I28,O$11:O$139,0))+IF(OR(TYPE(I28)&gt;1,TYPE(MATCH(I28,U$11:U$139,0))&gt;1),0,MATCH(I28,U$11:U$139,0))+IF(OR(TYPE(I28)&gt;1,TYPE(MATCH(I28,AA$11:AA$139,0))&gt;1),0,MATCH(I28,AA$11:AA$139,0))</f>
        <v>0</v>
      </c>
      <c r="AO28" s="395">
        <f ca="1">IF(OR(TYPE(O28)&gt;1,TYPE(MATCH(O28,I$11:I$139,0))&gt;1),0,MATCH(O28,I$11:I$139,0))+IF(OR(TYPE(O28)&gt;1,TYPE(MATCH(O28,O29:O$139,0))&gt;1),0,MATCH(O28,O29:O$139,0))+IF(OR(TYPE(O28)&gt;1,TYPE(MATCH(O28,U$11:U$139,0))&gt;1),0,MATCH(O28,U$11:U$139,0))+IF(OR(TYPE(O28)&gt;1,TYPE(MATCH(O28,AA$11:AA$139,0))&gt;1),0,MATCH(O28,AA$11:AA$139,0))</f>
        <v>0</v>
      </c>
      <c r="AP28" s="395">
        <f ca="1">IF(OR(TYPE(U28)&gt;1,TYPE(MATCH(U28,I$11:I$139,0))&gt;1),0,MATCH(U28,I$11:I$139,0))+IF(OR(TYPE(U28)&gt;1,TYPE(MATCH(U28,O$11:O$139,0))&gt;1),0,MATCH(U28,O$11:O$139,0))+IF(OR(TYPE(U28)&gt;1,TYPE(MATCH(U28,U29:U$139,0))&gt;1),0,MATCH(U28,U29:U$139,0))+IF(OR(TYPE(U28)&gt;1,TYPE(MATCH(U28,AA$11:AA$139,0))&gt;1),0,MATCH(U28,AA$11:AA$139,0))</f>
        <v>0</v>
      </c>
      <c r="AQ28" s="395">
        <f ca="1">IF(OR(TYPE(AA28)&gt;1,TYPE(MATCH(AA28,I$11:I$139,0))&gt;1),0,MATCH(AA28,I$11:I$139,0))+IF(OR(TYPE(AA28)&gt;1,TYPE(MATCH(AA28,O$11:O$139,0))&gt;1),0,MATCH(AA28,O$11:O$139,0))+IF(OR(TYPE(AA28)&gt;1,TYPE(MATCH(AA28,U$11:U$139,0))&gt;1),0,MATCH(U28,U$11:U$139,0))+IF(OR(TYPE(AA28)&gt;1,TYPE(MATCH(AA28,AA29:AA$139,0))&gt;1),0,MATCH(AA28,AA29:AA$139,0))</f>
        <v>0</v>
      </c>
      <c r="AR28" s="395">
        <f t="shared" ca="1" si="14"/>
        <v>0</v>
      </c>
      <c r="BF28" s="395">
        <f t="shared" si="15"/>
        <v>18</v>
      </c>
    </row>
    <row r="29" spans="1:58" ht="12.9">
      <c r="A29" s="387">
        <f t="shared" ca="1" si="0"/>
        <v>3</v>
      </c>
      <c r="B29" s="387">
        <f t="shared" ca="1" si="1"/>
        <v>1</v>
      </c>
      <c r="C29" s="387">
        <f t="shared" ca="1" si="2"/>
        <v>91.283000000000001</v>
      </c>
      <c r="D29" s="387">
        <f t="shared" ca="1" si="3"/>
        <v>229</v>
      </c>
      <c r="E29" s="387">
        <f t="shared" ca="1" si="4"/>
        <v>24</v>
      </c>
      <c r="F29" s="417" t="str">
        <f t="shared" ca="1" si="5"/>
        <v>91091283999770999975654890</v>
      </c>
      <c r="G29" s="453" t="b">
        <f t="shared" ca="1" si="6"/>
        <v>0</v>
      </c>
      <c r="H29" s="454">
        <f t="shared" si="7"/>
        <v>19</v>
      </c>
      <c r="I29" s="455">
        <f t="shared" ca="1" si="8"/>
        <v>25054</v>
      </c>
      <c r="J29" s="456" t="str">
        <f ca="1">IF(N(I29)&gt;0,VLOOKUP(I29,Hraci!$A$1:$I$1500,2,0),IF(TYPE(INDIRECT(ADDRESS(ROW() + $A$9-9 + (ROW()-11)*4,2,1,1,"Internet")))&gt;1,INDIRECT(ADDRESS(ROW() + $A$9-9 + (ROW()-11)*4,2,1,1,"Internet"))," "))</f>
        <v>Gratcl</v>
      </c>
      <c r="K29" s="457" t="str">
        <f ca="1">IF(N(I29)&gt;0,VLOOKUP(I29,Hraci!$A$1:$I$1500,3,0)," ")</f>
        <v>Jiří</v>
      </c>
      <c r="L29" s="457" t="str">
        <f ca="1">IF(N(I29)&gt;0,VLOOKUP(I29,Hraci!$A$1:$I$1500,5,0),IF(TYPE(INDIRECT(ADDRESS(ROW() + $A$9-9 + (ROW()-11)*4,3,1,1,"Internet")))&gt;1,INDIRECT(ADDRESS(ROW() + $A$9-9 + (ROW()-11)*4,3,1,1,"Internet"))," "))</f>
        <v>SKP Hranice VI-Valšovice</v>
      </c>
      <c r="M29" s="395">
        <f ca="1">IF(N(I29)=0,9999,VLOOKUP(I29,Hraci!$A$1:$I$1500,8,0))</f>
        <v>100</v>
      </c>
      <c r="N29" s="458">
        <f ca="1">IF(N(I29)=0,0,VLOOKUP(I29,Hraci!$A$1:$I$1500,9,0))</f>
        <v>31.282</v>
      </c>
      <c r="O29" s="455">
        <f t="shared" ca="1" si="9"/>
        <v>25055</v>
      </c>
      <c r="P29" s="456" t="str">
        <f ca="1">IF(N(O29)&gt;0,VLOOKUP(O29,Hraci!$A$1:$I$1500,2,0),IF(TYPE(INDIRECT(ADDRESS(ROW() + $A$9-8 + (ROW()-11)*4,2,1,1,"Internet")))&gt;1,INDIRECT(ADDRESS(ROW() + $A$9-8 + (ROW()-11)*4,2,1,1,"Internet"))," "))</f>
        <v>Jakeš</v>
      </c>
      <c r="Q29" s="457" t="str">
        <f ca="1">IF(N(O29)&gt;0,VLOOKUP(O29,Hraci!$A$1:$I$1500,3,0)," ")</f>
        <v>Zbyněk</v>
      </c>
      <c r="R29" s="457" t="str">
        <f ca="1">IF(N(O29)&gt;0,VLOOKUP(O29,Hraci!$A$1:$I$1500,5,0),IF(TYPE(INDIRECT(ADDRESS(ROW() + $A$9-8 + (ROW()-11)*4,3,1,1,"Internet")))&gt;1,INDIRECT(ADDRESS(ROW() + $A$9-8 + (ROW()-11)*4,3,1,1,"Internet"))," "))</f>
        <v>SKP Hranice VI-Valšovice</v>
      </c>
      <c r="S29" s="395">
        <f ca="1">IF(N(O29)=0,9999,VLOOKUP(O29,Hraci!$A$1:$I$1500,8,0))</f>
        <v>24</v>
      </c>
      <c r="T29" s="458">
        <f ca="1">IF(N(O29)=0,0,VLOOKUP(O29,Hraci!$A$1:$I$1500,9,0))</f>
        <v>38.625</v>
      </c>
      <c r="U29" s="455">
        <f t="shared" ca="1" si="10"/>
        <v>16107</v>
      </c>
      <c r="V29" s="456" t="str">
        <f ca="1">IF(N(U29)&gt;0,VLOOKUP(U29,Hraci!$A$1:$I$1500,2,0),IF(TYPE(INDIRECT(ADDRESS(ROW() + $A$9-7 + (ROW()-11)*4,2,1,1,"Internet")))&gt;1,INDIRECT(ADDRESS(ROW() + $A$9-7 + (ROW()-11)*4,2,1,1,"Internet"))," "))</f>
        <v>Janeček</v>
      </c>
      <c r="W29" s="457" t="str">
        <f ca="1">IF(N(U29)&gt;0,VLOOKUP(U29,Hraci!$A$1:$I$1500,3,0)," ")</f>
        <v>Robert</v>
      </c>
      <c r="X29" s="457" t="str">
        <f ca="1">IF(N(U29)&gt;0,VLOOKUP(U29,Hraci!$A$1:$I$1500,5,0),IF(TYPE(INDIRECT(ADDRESS(ROW() + $A$9-7 + (ROW()-11)*4,3,1,1,"Internet")))&gt;1,INDIRECT(ADDRESS(ROW() + $A$9-7 + (ROW()-11)*4,3,1,1,"Internet"))," "))</f>
        <v>HRODE KRUMSÍN</v>
      </c>
      <c r="Y29" s="395">
        <f ca="1">IF(N(U29)=0,9999,VLOOKUP(U29,Hraci!$A$1:$I$1500,8,0))</f>
        <v>105</v>
      </c>
      <c r="Z29" s="458">
        <f ca="1">IF(N(U29)=0,0,VLOOKUP(U29,Hraci!$A$1:$I$1500,9,0))</f>
        <v>21.376000000000001</v>
      </c>
      <c r="AA29" s="455" t="str">
        <f t="shared" ca="1" si="11"/>
        <v/>
      </c>
      <c r="AB29" s="456" t="str">
        <f ca="1">IF(N(AA29)&gt;0,VLOOKUP(AA29,Hraci!$A$1:$I$1500,2,0)," ")</f>
        <v xml:space="preserve"> </v>
      </c>
      <c r="AC29" s="457" t="str">
        <f ca="1">IF(N(AA29)&gt;0,VLOOKUP(AA29,Hraci!$A$1:$I$1500,3,0)," ")</f>
        <v xml:space="preserve"> </v>
      </c>
      <c r="AD29" s="457" t="str">
        <f ca="1">IF(N(AA29)&gt;0,VLOOKUP(AA29,Hraci!$A$1:$I$1500,5,0)," ")</f>
        <v xml:space="preserve"> </v>
      </c>
      <c r="AE29" s="395">
        <f ca="1">IF(N(AA29)=0,9999,VLOOKUP(AA29,Hraci!$A$1:$I$1500,8,0))</f>
        <v>9999</v>
      </c>
      <c r="AF29" s="458">
        <f ca="1">IF(N(AA29)=0,0,VLOOKUP(AA29,Hraci!$A$1:$I$1500,9,0))</f>
        <v>0</v>
      </c>
      <c r="AG29" s="459"/>
      <c r="AH29" s="465">
        <f ca="1">IF(TYPE(VLOOKUP(H29,Nasazení!$A$3:$E$130,5,0))&lt;4,VLOOKUP(H29,Nasazení!$A$3:$E$130,5,0),0)</f>
        <v>12</v>
      </c>
      <c r="AI29" s="460">
        <f ca="1">IF(N($AH29)&gt;0,VLOOKUP($AH29,Body!$A$4:$F$259,5,0),"")</f>
        <v>95.186093749999998</v>
      </c>
      <c r="AJ29" s="461">
        <f ca="1">IF(N($AH29)&gt;0,VLOOKUP($AH29,Body!$A$4:$F$259,6,0),"")</f>
        <v>0</v>
      </c>
      <c r="AK29" s="460">
        <f ca="1">IF(N($AH29)&gt;0,VLOOKUP($AH29,Body!$A$4:$F$259,2,0),"")</f>
        <v>2.5</v>
      </c>
      <c r="AL29" s="462" t="str">
        <f t="shared" ca="1" si="12"/>
        <v>19 SKP Hranice VI-Valšovice - Gratcl Jiří</v>
      </c>
      <c r="AM29" s="463">
        <f t="shared" ca="1" si="13"/>
        <v>91.283000000000001</v>
      </c>
      <c r="AN29" s="395">
        <f ca="1">IF(OR(TYPE(I29)&gt;1,TYPE(MATCH(I29,I30:I$139,0))&gt;1),0,MATCH(I29,I30:I$139,0))+IF(OR(TYPE(I29)&gt;1,TYPE(MATCH(I29,O$11:O$139,0))&gt;1),0,MATCH(I29,O$11:O$139,0))+IF(OR(TYPE(I29)&gt;1,TYPE(MATCH(I29,U$11:U$139,0))&gt;1),0,MATCH(I29,U$11:U$139,0))+IF(OR(TYPE(I29)&gt;1,TYPE(MATCH(I29,AA$11:AA$139,0))&gt;1),0,MATCH(I29,AA$11:AA$139,0))</f>
        <v>0</v>
      </c>
      <c r="AO29" s="395">
        <f ca="1">IF(OR(TYPE(O29)&gt;1,TYPE(MATCH(O29,I$11:I$139,0))&gt;1),0,MATCH(O29,I$11:I$139,0))+IF(OR(TYPE(O29)&gt;1,TYPE(MATCH(O29,O30:O$139,0))&gt;1),0,MATCH(O29,O30:O$139,0))+IF(OR(TYPE(O29)&gt;1,TYPE(MATCH(O29,U$11:U$139,0))&gt;1),0,MATCH(O29,U$11:U$139,0))+IF(OR(TYPE(O29)&gt;1,TYPE(MATCH(O29,AA$11:AA$139,0))&gt;1),0,MATCH(O29,AA$11:AA$139,0))</f>
        <v>0</v>
      </c>
      <c r="AP29" s="395">
        <f ca="1">IF(OR(TYPE(U29)&gt;1,TYPE(MATCH(U29,I$11:I$139,0))&gt;1),0,MATCH(U29,I$11:I$139,0))+IF(OR(TYPE(U29)&gt;1,TYPE(MATCH(U29,O$11:O$139,0))&gt;1),0,MATCH(U29,O$11:O$139,0))+IF(OR(TYPE(U29)&gt;1,TYPE(MATCH(U29,U30:U$139,0))&gt;1),0,MATCH(U29,U30:U$139,0))+IF(OR(TYPE(U29)&gt;1,TYPE(MATCH(U29,AA$11:AA$139,0))&gt;1),0,MATCH(U29,AA$11:AA$139,0))</f>
        <v>0</v>
      </c>
      <c r="AQ29" s="395">
        <f ca="1">IF(OR(TYPE(AA29)&gt;1,TYPE(MATCH(AA29,I$11:I$139,0))&gt;1),0,MATCH(AA29,I$11:I$139,0))+IF(OR(TYPE(AA29)&gt;1,TYPE(MATCH(AA29,O$11:O$139,0))&gt;1),0,MATCH(AA29,O$11:O$139,0))+IF(OR(TYPE(AA29)&gt;1,TYPE(MATCH(AA29,U$11:U$139,0))&gt;1),0,MATCH(U29,U$11:U$139,0))+IF(OR(TYPE(AA29)&gt;1,TYPE(MATCH(AA29,AA30:AA$139,0))&gt;1),0,MATCH(AA29,AA30:AA$139,0))</f>
        <v>0</v>
      </c>
      <c r="AR29" s="395">
        <f t="shared" ca="1" si="14"/>
        <v>0</v>
      </c>
      <c r="BF29" s="395">
        <f t="shared" si="15"/>
        <v>19</v>
      </c>
    </row>
    <row r="30" spans="1:58" ht="12.9">
      <c r="A30" s="387">
        <f t="shared" ca="1" si="0"/>
        <v>3</v>
      </c>
      <c r="B30" s="387">
        <f t="shared" ca="1" si="1"/>
        <v>1</v>
      </c>
      <c r="C30" s="387">
        <f t="shared" ca="1" si="2"/>
        <v>90.751000000000005</v>
      </c>
      <c r="D30" s="387">
        <f t="shared" ca="1" si="3"/>
        <v>201</v>
      </c>
      <c r="E30" s="387">
        <f t="shared" ca="1" si="4"/>
        <v>16</v>
      </c>
      <c r="F30" s="417" t="str">
        <f t="shared" ca="1" si="5"/>
        <v>91090751999798999983953399</v>
      </c>
      <c r="G30" s="453" t="b">
        <f t="shared" ca="1" si="6"/>
        <v>0</v>
      </c>
      <c r="H30" s="454">
        <f t="shared" si="7"/>
        <v>20</v>
      </c>
      <c r="I30" s="455">
        <f t="shared" ca="1" si="8"/>
        <v>23236</v>
      </c>
      <c r="J30" s="456" t="str">
        <f ca="1">IF(N(I30)&gt;0,VLOOKUP(I30,Hraci!$A$1:$I$1500,2,0),IF(TYPE(INDIRECT(ADDRESS(ROW() + $A$9-9 + (ROW()-11)*4,2,1,1,"Internet")))&gt;1,INDIRECT(ADDRESS(ROW() + $A$9-9 + (ROW()-11)*4,2,1,1,"Internet"))," "))</f>
        <v>Pellizon</v>
      </c>
      <c r="K30" s="457" t="str">
        <f ca="1">IF(N(I30)&gt;0,VLOOKUP(I30,Hraci!$A$1:$I$1500,3,0)," ")</f>
        <v>Boris Alfred</v>
      </c>
      <c r="L30" s="457" t="str">
        <f ca="1">IF(N(I30)&gt;0,VLOOKUP(I30,Hraci!$A$1:$I$1500,5,0),IF(TYPE(INDIRECT(ADDRESS(ROW() + $A$9-9 + (ROW()-11)*4,3,1,1,"Internet")))&gt;1,INDIRECT(ADDRESS(ROW() + $A$9-9 + (ROW()-11)*4,3,1,1,"Internet"))," "))</f>
        <v>Carreau Brno</v>
      </c>
      <c r="M30" s="395">
        <f ca="1">IF(N(I30)=0,9999,VLOOKUP(I30,Hraci!$A$1:$I$1500,8,0))</f>
        <v>149</v>
      </c>
      <c r="N30" s="458">
        <f ca="1">IF(N(I30)=0,0,VLOOKUP(I30,Hraci!$A$1:$I$1500,9,0))</f>
        <v>22.687999999999999</v>
      </c>
      <c r="O30" s="455">
        <f t="shared" ca="1" si="9"/>
        <v>20504</v>
      </c>
      <c r="P30" s="456" t="str">
        <f ca="1">IF(N(O30)&gt;0,VLOOKUP(O30,Hraci!$A$1:$I$1500,2,0),IF(TYPE(INDIRECT(ADDRESS(ROW() + $A$9-8 + (ROW()-11)*4,2,1,1,"Internet")))&gt;1,INDIRECT(ADDRESS(ROW() + $A$9-8 + (ROW()-11)*4,2,1,1,"Internet"))," "))</f>
        <v>Bytešník</v>
      </c>
      <c r="Q30" s="457" t="str">
        <f ca="1">IF(N(O30)&gt;0,VLOOKUP(O30,Hraci!$A$1:$I$1500,3,0)," ")</f>
        <v>Roman</v>
      </c>
      <c r="R30" s="457" t="str">
        <f ca="1">IF(N(O30)&gt;0,VLOOKUP(O30,Hraci!$A$1:$I$1500,5,0),IF(TYPE(INDIRECT(ADDRESS(ROW() + $A$9-8 + (ROW()-11)*4,3,1,1,"Internet")))&gt;1,INDIRECT(ADDRESS(ROW() + $A$9-8 + (ROW()-11)*4,3,1,1,"Internet"))," "))</f>
        <v>Carreau Brno</v>
      </c>
      <c r="S30" s="395">
        <f ca="1">IF(N(O30)=0,9999,VLOOKUP(O30,Hraci!$A$1:$I$1500,8,0))</f>
        <v>36</v>
      </c>
      <c r="T30" s="458">
        <f ca="1">IF(N(O30)=0,0,VLOOKUP(O30,Hraci!$A$1:$I$1500,9,0))</f>
        <v>30.437999999999999</v>
      </c>
      <c r="U30" s="455">
        <f t="shared" ca="1" si="10"/>
        <v>20617</v>
      </c>
      <c r="V30" s="456" t="str">
        <f ca="1">IF(N(U30)&gt;0,VLOOKUP(U30,Hraci!$A$1:$I$1500,2,0),IF(TYPE(INDIRECT(ADDRESS(ROW() + $A$9-7 + (ROW()-11)*4,2,1,1,"Internet")))&gt;1,INDIRECT(ADDRESS(ROW() + $A$9-7 + (ROW()-11)*4,2,1,1,"Internet"))," "))</f>
        <v>Rendla</v>
      </c>
      <c r="W30" s="457" t="str">
        <f ca="1">IF(N(U30)&gt;0,VLOOKUP(U30,Hraci!$A$1:$I$1500,3,0)," ")</f>
        <v>Jakub</v>
      </c>
      <c r="X30" s="457" t="str">
        <f ca="1">IF(N(U30)&gt;0,VLOOKUP(U30,Hraci!$A$1:$I$1500,5,0),IF(TYPE(INDIRECT(ADDRESS(ROW() + $A$9-7 + (ROW()-11)*4,3,1,1,"Internet")))&gt;1,INDIRECT(ADDRESS(ROW() + $A$9-7 + (ROW()-11)*4,3,1,1,"Internet"))," "))</f>
        <v>Carreau Brno</v>
      </c>
      <c r="Y30" s="395">
        <f ca="1">IF(N(U30)=0,9999,VLOOKUP(U30,Hraci!$A$1:$I$1500,8,0))</f>
        <v>16</v>
      </c>
      <c r="Z30" s="458">
        <f ca="1">IF(N(U30)=0,0,VLOOKUP(U30,Hraci!$A$1:$I$1500,9,0))</f>
        <v>37.625</v>
      </c>
      <c r="AA30" s="455" t="str">
        <f t="shared" ca="1" si="11"/>
        <v/>
      </c>
      <c r="AB30" s="456" t="str">
        <f ca="1">IF(N(AA30)&gt;0,VLOOKUP(AA30,Hraci!$A$1:$I$1500,2,0)," ")</f>
        <v xml:space="preserve"> </v>
      </c>
      <c r="AC30" s="457" t="str">
        <f ca="1">IF(N(AA30)&gt;0,VLOOKUP(AA30,Hraci!$A$1:$I$1500,3,0)," ")</f>
        <v xml:space="preserve"> </v>
      </c>
      <c r="AD30" s="457" t="str">
        <f ca="1">IF(N(AA30)&gt;0,VLOOKUP(AA30,Hraci!$A$1:$I$1500,5,0)," ")</f>
        <v xml:space="preserve"> </v>
      </c>
      <c r="AE30" s="395">
        <f ca="1">IF(N(AA30)=0,9999,VLOOKUP(AA30,Hraci!$A$1:$I$1500,8,0))</f>
        <v>9999</v>
      </c>
      <c r="AF30" s="458">
        <f ca="1">IF(N(AA30)=0,0,VLOOKUP(AA30,Hraci!$A$1:$I$1500,9,0))</f>
        <v>0</v>
      </c>
      <c r="AG30" s="459"/>
      <c r="AH30" s="465">
        <f ca="1">IF(TYPE(VLOOKUP(H30,Nasazení!$A$3:$E$130,5,0))&lt;4,VLOOKUP(H30,Nasazení!$A$3:$E$130,5,0),0)</f>
        <v>32</v>
      </c>
      <c r="AI30" s="460">
        <f ca="1">IF(N($AH30)&gt;0,VLOOKUP($AH30,Body!$A$4:$F$259,5,0),"")</f>
        <v>38.074437500000002</v>
      </c>
      <c r="AJ30" s="461">
        <f ca="1">IF(N($AH30)&gt;0,VLOOKUP($AH30,Body!$A$4:$F$259,6,0),"")</f>
        <v>0</v>
      </c>
      <c r="AK30" s="460">
        <f ca="1">IF(N($AH30)&gt;0,VLOOKUP($AH30,Body!$A$4:$F$259,2,0),"")</f>
        <v>1</v>
      </c>
      <c r="AL30" s="462" t="str">
        <f t="shared" ca="1" si="12"/>
        <v>20 Carreau Brno - Pellizon Boris Alfred</v>
      </c>
      <c r="AM30" s="463">
        <f t="shared" ca="1" si="13"/>
        <v>90.751000000000005</v>
      </c>
      <c r="AN30" s="395">
        <f ca="1">IF(OR(TYPE(I30)&gt;1,TYPE(MATCH(I30,I31:I$139,0))&gt;1),0,MATCH(I30,I31:I$139,0))+IF(OR(TYPE(I30)&gt;1,TYPE(MATCH(I30,O$11:O$139,0))&gt;1),0,MATCH(I30,O$11:O$139,0))+IF(OR(TYPE(I30)&gt;1,TYPE(MATCH(I30,U$11:U$139,0))&gt;1),0,MATCH(I30,U$11:U$139,0))+IF(OR(TYPE(I30)&gt;1,TYPE(MATCH(I30,AA$11:AA$139,0))&gt;1),0,MATCH(I30,AA$11:AA$139,0))</f>
        <v>0</v>
      </c>
      <c r="AO30" s="395">
        <f ca="1">IF(OR(TYPE(O30)&gt;1,TYPE(MATCH(O30,I$11:I$139,0))&gt;1),0,MATCH(O30,I$11:I$139,0))+IF(OR(TYPE(O30)&gt;1,TYPE(MATCH(O30,O31:O$139,0))&gt;1),0,MATCH(O30,O31:O$139,0))+IF(OR(TYPE(O30)&gt;1,TYPE(MATCH(O30,U$11:U$139,0))&gt;1),0,MATCH(O30,U$11:U$139,0))+IF(OR(TYPE(O30)&gt;1,TYPE(MATCH(O30,AA$11:AA$139,0))&gt;1),0,MATCH(O30,AA$11:AA$139,0))</f>
        <v>0</v>
      </c>
      <c r="AP30" s="395">
        <f ca="1">IF(OR(TYPE(U30)&gt;1,TYPE(MATCH(U30,I$11:I$139,0))&gt;1),0,MATCH(U30,I$11:I$139,0))+IF(OR(TYPE(U30)&gt;1,TYPE(MATCH(U30,O$11:O$139,0))&gt;1),0,MATCH(U30,O$11:O$139,0))+IF(OR(TYPE(U30)&gt;1,TYPE(MATCH(U30,U31:U$139,0))&gt;1),0,MATCH(U30,U31:U$139,0))+IF(OR(TYPE(U30)&gt;1,TYPE(MATCH(U30,AA$11:AA$139,0))&gt;1),0,MATCH(U30,AA$11:AA$139,0))</f>
        <v>0</v>
      </c>
      <c r="AQ30" s="395">
        <f ca="1">IF(OR(TYPE(AA30)&gt;1,TYPE(MATCH(AA30,I$11:I$139,0))&gt;1),0,MATCH(AA30,I$11:I$139,0))+IF(OR(TYPE(AA30)&gt;1,TYPE(MATCH(AA30,O$11:O$139,0))&gt;1),0,MATCH(AA30,O$11:O$139,0))+IF(OR(TYPE(AA30)&gt;1,TYPE(MATCH(AA30,U$11:U$139,0))&gt;1),0,MATCH(U30,U$11:U$139,0))+IF(OR(TYPE(AA30)&gt;1,TYPE(MATCH(AA30,AA31:AA$139,0))&gt;1),0,MATCH(AA30,AA31:AA$139,0))</f>
        <v>0</v>
      </c>
      <c r="AR30" s="395">
        <f t="shared" ca="1" si="14"/>
        <v>0</v>
      </c>
      <c r="BF30" s="395">
        <f t="shared" si="15"/>
        <v>20</v>
      </c>
    </row>
    <row r="31" spans="1:58" ht="12.9">
      <c r="A31" s="387">
        <f t="shared" ca="1" si="0"/>
        <v>3</v>
      </c>
      <c r="B31" s="387">
        <f t="shared" ca="1" si="1"/>
        <v>1</v>
      </c>
      <c r="C31" s="387">
        <f t="shared" ca="1" si="2"/>
        <v>89.063000000000002</v>
      </c>
      <c r="D31" s="387">
        <f t="shared" ca="1" si="3"/>
        <v>350</v>
      </c>
      <c r="E31" s="387">
        <f t="shared" ca="1" si="4"/>
        <v>65</v>
      </c>
      <c r="F31" s="417" t="str">
        <f t="shared" ca="1" si="5"/>
        <v>91089063999649999934906123</v>
      </c>
      <c r="G31" s="453" t="b">
        <f t="shared" ca="1" si="6"/>
        <v>0</v>
      </c>
      <c r="H31" s="454">
        <f t="shared" si="7"/>
        <v>21</v>
      </c>
      <c r="I31" s="455">
        <f t="shared" ca="1" si="8"/>
        <v>22017</v>
      </c>
      <c r="J31" s="456" t="str">
        <f ca="1">IF(N(I31)&gt;0,VLOOKUP(I31,Hraci!$A$1:$I$1500,2,0),IF(TYPE(INDIRECT(ADDRESS(ROW() + $A$9-9 + (ROW()-11)*4,2,1,1,"Internet")))&gt;1,INDIRECT(ADDRESS(ROW() + $A$9-9 + (ROW()-11)*4,2,1,1,"Internet"))," "))</f>
        <v>Ferlay</v>
      </c>
      <c r="K31" s="457" t="str">
        <f ca="1">IF(N(I31)&gt;0,VLOOKUP(I31,Hraci!$A$1:$I$1500,3,0)," ")</f>
        <v>Franck</v>
      </c>
      <c r="L31" s="457" t="str">
        <f ca="1">IF(N(I31)&gt;0,VLOOKUP(I31,Hraci!$A$1:$I$1500,5,0),IF(TYPE(INDIRECT(ADDRESS(ROW() + $A$9-9 + (ROW()-11)*4,3,1,1,"Internet")))&gt;1,INDIRECT(ADDRESS(ROW() + $A$9-9 + (ROW()-11)*4,3,1,1,"Internet"))," "))</f>
        <v>Carreau Brno</v>
      </c>
      <c r="M31" s="395">
        <f ca="1">IF(N(I31)=0,9999,VLOOKUP(I31,Hraci!$A$1:$I$1500,8,0))</f>
        <v>207</v>
      </c>
      <c r="N31" s="458">
        <f ca="1">IF(N(I31)=0,0,VLOOKUP(I31,Hraci!$A$1:$I$1500,9,0))</f>
        <v>8.3130000000000006</v>
      </c>
      <c r="O31" s="455">
        <f t="shared" ca="1" si="9"/>
        <v>21050</v>
      </c>
      <c r="P31" s="456" t="str">
        <f ca="1">IF(N(O31)&gt;0,VLOOKUP(O31,Hraci!$A$1:$I$1500,2,0),IF(TYPE(INDIRECT(ADDRESS(ROW() + $A$9-8 + (ROW()-11)*4,2,1,1,"Internet")))&gt;1,INDIRECT(ADDRESS(ROW() + $A$9-8 + (ROW()-11)*4,2,1,1,"Internet"))," "))</f>
        <v>Štěpánek</v>
      </c>
      <c r="Q31" s="457" t="str">
        <f ca="1">IF(N(O31)&gt;0,VLOOKUP(O31,Hraci!$A$1:$I$1500,3,0)," ")</f>
        <v>Michal</v>
      </c>
      <c r="R31" s="457" t="str">
        <f ca="1">IF(N(O31)&gt;0,VLOOKUP(O31,Hraci!$A$1:$I$1500,5,0),IF(TYPE(INDIRECT(ADDRESS(ROW() + $A$9-8 + (ROW()-11)*4,3,1,1,"Internet")))&gt;1,INDIRECT(ADDRESS(ROW() + $A$9-8 + (ROW()-11)*4,3,1,1,"Internet"))," "))</f>
        <v>SLOPE Brno</v>
      </c>
      <c r="S31" s="395">
        <f ca="1">IF(N(O31)=0,9999,VLOOKUP(O31,Hraci!$A$1:$I$1500,8,0))</f>
        <v>78</v>
      </c>
      <c r="T31" s="458">
        <f ca="1">IF(N(O31)=0,0,VLOOKUP(O31,Hraci!$A$1:$I$1500,9,0))</f>
        <v>41.25</v>
      </c>
      <c r="U31" s="455">
        <f t="shared" ca="1" si="10"/>
        <v>11011</v>
      </c>
      <c r="V31" s="456" t="str">
        <f ca="1">IF(N(U31)&gt;0,VLOOKUP(U31,Hraci!$A$1:$I$1500,2,0),IF(TYPE(INDIRECT(ADDRESS(ROW() + $A$9-7 + (ROW()-11)*4,2,1,1,"Internet")))&gt;1,INDIRECT(ADDRESS(ROW() + $A$9-7 + (ROW()-11)*4,2,1,1,"Internet"))," "))</f>
        <v>Juráň</v>
      </c>
      <c r="W31" s="457" t="str">
        <f ca="1">IF(N(U31)&gt;0,VLOOKUP(U31,Hraci!$A$1:$I$1500,3,0)," ")</f>
        <v>Petr</v>
      </c>
      <c r="X31" s="457" t="str">
        <f ca="1">IF(N(U31)&gt;0,VLOOKUP(U31,Hraci!$A$1:$I$1500,5,0),IF(TYPE(INDIRECT(ADDRESS(ROW() + $A$9-7 + (ROW()-11)*4,3,1,1,"Internet")))&gt;1,INDIRECT(ADDRESS(ROW() + $A$9-7 + (ROW()-11)*4,3,1,1,"Internet"))," "))</f>
        <v>HRODE KRUMSÍN</v>
      </c>
      <c r="Y31" s="395">
        <f ca="1">IF(N(U31)=0,9999,VLOOKUP(U31,Hraci!$A$1:$I$1500,8,0))</f>
        <v>65</v>
      </c>
      <c r="Z31" s="458">
        <f ca="1">IF(N(U31)=0,0,VLOOKUP(U31,Hraci!$A$1:$I$1500,9,0))</f>
        <v>39.5</v>
      </c>
      <c r="AA31" s="455" t="str">
        <f t="shared" ca="1" si="11"/>
        <v/>
      </c>
      <c r="AB31" s="456" t="str">
        <f ca="1">IF(N(AA31)&gt;0,VLOOKUP(AA31,Hraci!$A$1:$I$1500,2,0)," ")</f>
        <v xml:space="preserve"> </v>
      </c>
      <c r="AC31" s="457" t="str">
        <f ca="1">IF(N(AA31)&gt;0,VLOOKUP(AA31,Hraci!$A$1:$I$1500,3,0)," ")</f>
        <v xml:space="preserve"> </v>
      </c>
      <c r="AD31" s="457" t="str">
        <f ca="1">IF(N(AA31)&gt;0,VLOOKUP(AA31,Hraci!$A$1:$I$1500,5,0)," ")</f>
        <v xml:space="preserve"> </v>
      </c>
      <c r="AE31" s="395">
        <f ca="1">IF(N(AA31)=0,9999,VLOOKUP(AA31,Hraci!$A$1:$I$1500,8,0))</f>
        <v>9999</v>
      </c>
      <c r="AF31" s="458">
        <f ca="1">IF(N(AA31)=0,0,VLOOKUP(AA31,Hraci!$A$1:$I$1500,9,0))</f>
        <v>0</v>
      </c>
      <c r="AG31" s="459"/>
      <c r="AH31" s="465">
        <f ca="1">IF(TYPE(VLOOKUP(H31,Nasazení!$A$3:$E$130,5,0))&lt;4,VLOOKUP(H31,Nasazení!$A$3:$E$130,5,0),0)</f>
        <v>8</v>
      </c>
      <c r="AI31" s="460">
        <f ca="1">IF(N($AH31)&gt;0,VLOOKUP($AH31,Body!$A$4:$F$259,5,0),"")</f>
        <v>114.22331250000001</v>
      </c>
      <c r="AJ31" s="461">
        <f ca="1">IF(N($AH31)&gt;0,VLOOKUP($AH31,Body!$A$4:$F$259,6,0),"")</f>
        <v>0</v>
      </c>
      <c r="AK31" s="460">
        <f ca="1">IF(N($AH31)&gt;0,VLOOKUP($AH31,Body!$A$4:$F$259,2,0),"")</f>
        <v>3</v>
      </c>
      <c r="AL31" s="462" t="str">
        <f t="shared" ca="1" si="12"/>
        <v>21 Carreau Brno - Ferlay Franck</v>
      </c>
      <c r="AM31" s="463">
        <f t="shared" ca="1" si="13"/>
        <v>89.063000000000002</v>
      </c>
      <c r="AN31" s="395">
        <f ca="1">IF(OR(TYPE(I31)&gt;1,TYPE(MATCH(I31,I32:I$139,0))&gt;1),0,MATCH(I31,I32:I$139,0))+IF(OR(TYPE(I31)&gt;1,TYPE(MATCH(I31,O$11:O$139,0))&gt;1),0,MATCH(I31,O$11:O$139,0))+IF(OR(TYPE(I31)&gt;1,TYPE(MATCH(I31,U$11:U$139,0))&gt;1),0,MATCH(I31,U$11:U$139,0))+IF(OR(TYPE(I31)&gt;1,TYPE(MATCH(I31,AA$11:AA$139,0))&gt;1),0,MATCH(I31,AA$11:AA$139,0))</f>
        <v>0</v>
      </c>
      <c r="AO31" s="395">
        <f ca="1">IF(OR(TYPE(O31)&gt;1,TYPE(MATCH(O31,I$11:I$139,0))&gt;1),0,MATCH(O31,I$11:I$139,0))+IF(OR(TYPE(O31)&gt;1,TYPE(MATCH(O31,O32:O$139,0))&gt;1),0,MATCH(O31,O32:O$139,0))+IF(OR(TYPE(O31)&gt;1,TYPE(MATCH(O31,U$11:U$139,0))&gt;1),0,MATCH(O31,U$11:U$139,0))+IF(OR(TYPE(O31)&gt;1,TYPE(MATCH(O31,AA$11:AA$139,0))&gt;1),0,MATCH(O31,AA$11:AA$139,0))</f>
        <v>0</v>
      </c>
      <c r="AP31" s="395">
        <f ca="1">IF(OR(TYPE(U31)&gt;1,TYPE(MATCH(U31,I$11:I$139,0))&gt;1),0,MATCH(U31,I$11:I$139,0))+IF(OR(TYPE(U31)&gt;1,TYPE(MATCH(U31,O$11:O$139,0))&gt;1),0,MATCH(U31,O$11:O$139,0))+IF(OR(TYPE(U31)&gt;1,TYPE(MATCH(U31,U32:U$139,0))&gt;1),0,MATCH(U31,U32:U$139,0))+IF(OR(TYPE(U31)&gt;1,TYPE(MATCH(U31,AA$11:AA$139,0))&gt;1),0,MATCH(U31,AA$11:AA$139,0))</f>
        <v>0</v>
      </c>
      <c r="AQ31" s="395">
        <f ca="1">IF(OR(TYPE(AA31)&gt;1,TYPE(MATCH(AA31,I$11:I$139,0))&gt;1),0,MATCH(AA31,I$11:I$139,0))+IF(OR(TYPE(AA31)&gt;1,TYPE(MATCH(AA31,O$11:O$139,0))&gt;1),0,MATCH(AA31,O$11:O$139,0))+IF(OR(TYPE(AA31)&gt;1,TYPE(MATCH(AA31,U$11:U$139,0))&gt;1),0,MATCH(U31,U$11:U$139,0))+IF(OR(TYPE(AA31)&gt;1,TYPE(MATCH(AA31,AA32:AA$139,0))&gt;1),0,MATCH(AA31,AA32:AA$139,0))</f>
        <v>0</v>
      </c>
      <c r="AR31" s="395">
        <f t="shared" ca="1" si="14"/>
        <v>0</v>
      </c>
      <c r="BF31" s="395">
        <f t="shared" si="15"/>
        <v>21</v>
      </c>
    </row>
    <row r="32" spans="1:58" ht="12.9">
      <c r="A32" s="387">
        <f t="shared" ca="1" si="0"/>
        <v>3</v>
      </c>
      <c r="B32" s="387">
        <f t="shared" ca="1" si="1"/>
        <v>1</v>
      </c>
      <c r="C32" s="387">
        <f t="shared" ca="1" si="2"/>
        <v>86.906999999999996</v>
      </c>
      <c r="D32" s="387">
        <f t="shared" ca="1" si="3"/>
        <v>332</v>
      </c>
      <c r="E32" s="387">
        <f t="shared" ca="1" si="4"/>
        <v>97</v>
      </c>
      <c r="F32" s="417" t="str">
        <f t="shared" ca="1" si="5"/>
        <v>91086907999667999902104332</v>
      </c>
      <c r="G32" s="453" t="b">
        <f t="shared" ca="1" si="6"/>
        <v>0</v>
      </c>
      <c r="H32" s="454">
        <f t="shared" si="7"/>
        <v>22</v>
      </c>
      <c r="I32" s="455">
        <f t="shared" ca="1" si="8"/>
        <v>21021</v>
      </c>
      <c r="J32" s="456" t="str">
        <f ca="1">IF(N(I32)&gt;0,VLOOKUP(I32,Hraci!$A$1:$I$1500,2,0),IF(TYPE(INDIRECT(ADDRESS(ROW() + $A$9-9 + (ROW()-11)*4,2,1,1,"Internet")))&gt;1,INDIRECT(ADDRESS(ROW() + $A$9-9 + (ROW()-11)*4,2,1,1,"Internet"))," "))</f>
        <v>Sekerešová</v>
      </c>
      <c r="K32" s="457" t="str">
        <f ca="1">IF(N(I32)&gt;0,VLOOKUP(I32,Hraci!$A$1:$I$1500,3,0)," ")</f>
        <v>Jindřiška</v>
      </c>
      <c r="L32" s="457" t="str">
        <f ca="1">IF(N(I32)&gt;0,VLOOKUP(I32,Hraci!$A$1:$I$1500,5,0),IF(TYPE(INDIRECT(ADDRESS(ROW() + $A$9-9 + (ROW()-11)*4,3,1,1,"Internet")))&gt;1,INDIRECT(ADDRESS(ROW() + $A$9-9 + (ROW()-11)*4,3,1,1,"Internet"))," "))</f>
        <v>SK Sahara Vědomice</v>
      </c>
      <c r="M32" s="395">
        <f ca="1">IF(N(I32)=0,9999,VLOOKUP(I32,Hraci!$A$1:$I$1500,8,0))</f>
        <v>118</v>
      </c>
      <c r="N32" s="458">
        <f ca="1">IF(N(I32)=0,0,VLOOKUP(I32,Hraci!$A$1:$I$1500,9,0))</f>
        <v>23.282</v>
      </c>
      <c r="O32" s="455">
        <f t="shared" ca="1" si="9"/>
        <v>14079</v>
      </c>
      <c r="P32" s="456" t="str">
        <f ca="1">IF(N(O32)&gt;0,VLOOKUP(O32,Hraci!$A$1:$I$1500,2,0),IF(TYPE(INDIRECT(ADDRESS(ROW() + $A$9-8 + (ROW()-11)*4,2,1,1,"Internet")))&gt;1,INDIRECT(ADDRESS(ROW() + $A$9-8 + (ROW()-11)*4,2,1,1,"Internet"))," "))</f>
        <v>Heller</v>
      </c>
      <c r="Q32" s="457" t="str">
        <f ca="1">IF(N(O32)&gt;0,VLOOKUP(O32,Hraci!$A$1:$I$1500,3,0)," ")</f>
        <v>Jan</v>
      </c>
      <c r="R32" s="457" t="str">
        <f ca="1">IF(N(O32)&gt;0,VLOOKUP(O32,Hraci!$A$1:$I$1500,5,0),IF(TYPE(INDIRECT(ADDRESS(ROW() + $A$9-8 + (ROW()-11)*4,3,1,1,"Internet")))&gt;1,INDIRECT(ADDRESS(ROW() + $A$9-8 + (ROW()-11)*4,3,1,1,"Internet"))," "))</f>
        <v>PC Mimo Done</v>
      </c>
      <c r="S32" s="395">
        <f ca="1">IF(N(O32)=0,9999,VLOOKUP(O32,Hraci!$A$1:$I$1500,8,0))</f>
        <v>97</v>
      </c>
      <c r="T32" s="458">
        <f ca="1">IF(N(O32)=0,0,VLOOKUP(O32,Hraci!$A$1:$I$1500,9,0))</f>
        <v>30.375</v>
      </c>
      <c r="U32" s="455">
        <f t="shared" ca="1" si="10"/>
        <v>98446</v>
      </c>
      <c r="V32" s="456" t="str">
        <f ca="1">IF(N(U32)&gt;0,VLOOKUP(U32,Hraci!$A$1:$I$1500,2,0),IF(TYPE(INDIRECT(ADDRESS(ROW() + $A$9-7 + (ROW()-11)*4,2,1,1,"Internet")))&gt;1,INDIRECT(ADDRESS(ROW() + $A$9-7 + (ROW()-11)*4,2,1,1,"Internet"))," "))</f>
        <v>Morávek</v>
      </c>
      <c r="W32" s="457" t="str">
        <f ca="1">IF(N(U32)&gt;0,VLOOKUP(U32,Hraci!$A$1:$I$1500,3,0)," ")</f>
        <v>Petr</v>
      </c>
      <c r="X32" s="457" t="str">
        <f ca="1">IF(N(U32)&gt;0,VLOOKUP(U32,Hraci!$A$1:$I$1500,5,0),IF(TYPE(INDIRECT(ADDRESS(ROW() + $A$9-7 + (ROW()-11)*4,3,1,1,"Internet")))&gt;1,INDIRECT(ADDRESS(ROW() + $A$9-7 + (ROW()-11)*4,3,1,1,"Internet"))," "))</f>
        <v>PC Sokol Lipník</v>
      </c>
      <c r="Y32" s="395">
        <f ca="1">IF(N(U32)=0,9999,VLOOKUP(U32,Hraci!$A$1:$I$1500,8,0))</f>
        <v>117</v>
      </c>
      <c r="Z32" s="458">
        <f ca="1">IF(N(U32)=0,0,VLOOKUP(U32,Hraci!$A$1:$I$1500,9,0))</f>
        <v>33.25</v>
      </c>
      <c r="AA32" s="455" t="str">
        <f t="shared" ca="1" si="11"/>
        <v/>
      </c>
      <c r="AB32" s="456" t="str">
        <f ca="1">IF(N(AA32)&gt;0,VLOOKUP(AA32,Hraci!$A$1:$I$1500,2,0)," ")</f>
        <v xml:space="preserve"> </v>
      </c>
      <c r="AC32" s="457" t="str">
        <f ca="1">IF(N(AA32)&gt;0,VLOOKUP(AA32,Hraci!$A$1:$I$1500,3,0)," ")</f>
        <v xml:space="preserve"> </v>
      </c>
      <c r="AD32" s="457" t="str">
        <f ca="1">IF(N(AA32)&gt;0,VLOOKUP(AA32,Hraci!$A$1:$I$1500,5,0)," ")</f>
        <v xml:space="preserve"> </v>
      </c>
      <c r="AE32" s="395">
        <f ca="1">IF(N(AA32)=0,9999,VLOOKUP(AA32,Hraci!$A$1:$I$1500,8,0))</f>
        <v>9999</v>
      </c>
      <c r="AF32" s="458">
        <f ca="1">IF(N(AA32)=0,0,VLOOKUP(AA32,Hraci!$A$1:$I$1500,9,0))</f>
        <v>0</v>
      </c>
      <c r="AG32" s="459"/>
      <c r="AH32" s="465">
        <f ca="1">IF(TYPE(VLOOKUP(H32,Nasazení!$A$3:$E$130,5,0))&lt;4,VLOOKUP(H32,Nasazení!$A$3:$E$130,5,0),0)</f>
        <v>13</v>
      </c>
      <c r="AI32" s="460">
        <f ca="1">IF(N($AH32)&gt;0,VLOOKUP($AH32,Body!$A$4:$F$259,5,0),"")</f>
        <v>90.426789062500006</v>
      </c>
      <c r="AJ32" s="461">
        <f ca="1">IF(N($AH32)&gt;0,VLOOKUP($AH32,Body!$A$4:$F$259,6,0),"")</f>
        <v>0</v>
      </c>
      <c r="AK32" s="460">
        <f ca="1">IF(N($AH32)&gt;0,VLOOKUP($AH32,Body!$A$4:$F$259,2,0),"")</f>
        <v>2.375</v>
      </c>
      <c r="AL32" s="462" t="str">
        <f t="shared" ca="1" si="12"/>
        <v>22 SK Sahara Vědomice - Sekerešová Jindřiška</v>
      </c>
      <c r="AM32" s="463">
        <f t="shared" ca="1" si="13"/>
        <v>86.906999999999996</v>
      </c>
      <c r="AN32" s="395">
        <f ca="1">IF(OR(TYPE(I32)&gt;1,TYPE(MATCH(I32,I33:I$139,0))&gt;1),0,MATCH(I32,I33:I$139,0))+IF(OR(TYPE(I32)&gt;1,TYPE(MATCH(I32,O$11:O$139,0))&gt;1),0,MATCH(I32,O$11:O$139,0))+IF(OR(TYPE(I32)&gt;1,TYPE(MATCH(I32,U$11:U$139,0))&gt;1),0,MATCH(I32,U$11:U$139,0))+IF(OR(TYPE(I32)&gt;1,TYPE(MATCH(I32,AA$11:AA$139,0))&gt;1),0,MATCH(I32,AA$11:AA$139,0))</f>
        <v>0</v>
      </c>
      <c r="AO32" s="395">
        <f ca="1">IF(OR(TYPE(O32)&gt;1,TYPE(MATCH(O32,I$11:I$139,0))&gt;1),0,MATCH(O32,I$11:I$139,0))+IF(OR(TYPE(O32)&gt;1,TYPE(MATCH(O32,O33:O$139,0))&gt;1),0,MATCH(O32,O33:O$139,0))+IF(OR(TYPE(O32)&gt;1,TYPE(MATCH(O32,U$11:U$139,0))&gt;1),0,MATCH(O32,U$11:U$139,0))+IF(OR(TYPE(O32)&gt;1,TYPE(MATCH(O32,AA$11:AA$139,0))&gt;1),0,MATCH(O32,AA$11:AA$139,0))</f>
        <v>0</v>
      </c>
      <c r="AP32" s="395">
        <f ca="1">IF(OR(TYPE(U32)&gt;1,TYPE(MATCH(U32,I$11:I$139,0))&gt;1),0,MATCH(U32,I$11:I$139,0))+IF(OR(TYPE(U32)&gt;1,TYPE(MATCH(U32,O$11:O$139,0))&gt;1),0,MATCH(U32,O$11:O$139,0))+IF(OR(TYPE(U32)&gt;1,TYPE(MATCH(U32,U33:U$139,0))&gt;1),0,MATCH(U32,U33:U$139,0))+IF(OR(TYPE(U32)&gt;1,TYPE(MATCH(U32,AA$11:AA$139,0))&gt;1),0,MATCH(U32,AA$11:AA$139,0))</f>
        <v>0</v>
      </c>
      <c r="AQ32" s="395">
        <f ca="1">IF(OR(TYPE(AA32)&gt;1,TYPE(MATCH(AA32,I$11:I$139,0))&gt;1),0,MATCH(AA32,I$11:I$139,0))+IF(OR(TYPE(AA32)&gt;1,TYPE(MATCH(AA32,O$11:O$139,0))&gt;1),0,MATCH(AA32,O$11:O$139,0))+IF(OR(TYPE(AA32)&gt;1,TYPE(MATCH(AA32,U$11:U$139,0))&gt;1),0,MATCH(U32,U$11:U$139,0))+IF(OR(TYPE(AA32)&gt;1,TYPE(MATCH(AA32,AA33:AA$139,0))&gt;1),0,MATCH(AA32,AA33:AA$139,0))</f>
        <v>0</v>
      </c>
      <c r="AR32" s="395">
        <f t="shared" ca="1" si="14"/>
        <v>0</v>
      </c>
      <c r="BF32" s="395">
        <f t="shared" si="15"/>
        <v>22</v>
      </c>
    </row>
    <row r="33" spans="1:58" ht="12.9">
      <c r="A33" s="387">
        <f t="shared" ca="1" si="0"/>
        <v>3</v>
      </c>
      <c r="B33" s="387">
        <f t="shared" ca="1" si="1"/>
        <v>1</v>
      </c>
      <c r="C33" s="387">
        <f t="shared" ca="1" si="2"/>
        <v>86.876000000000005</v>
      </c>
      <c r="D33" s="387">
        <f t="shared" ca="1" si="3"/>
        <v>174</v>
      </c>
      <c r="E33" s="387">
        <f t="shared" ca="1" si="4"/>
        <v>28</v>
      </c>
      <c r="F33" s="417" t="str">
        <f t="shared" ca="1" si="5"/>
        <v>91086876999825999971176773</v>
      </c>
      <c r="G33" s="453" t="b">
        <f t="shared" ca="1" si="6"/>
        <v>0</v>
      </c>
      <c r="H33" s="454">
        <f t="shared" si="7"/>
        <v>23</v>
      </c>
      <c r="I33" s="455">
        <f t="shared" ca="1" si="8"/>
        <v>11001</v>
      </c>
      <c r="J33" s="456" t="str">
        <f ca="1">IF(N(I33)&gt;0,VLOOKUP(I33,Hraci!$A$1:$I$1500,2,0),IF(TYPE(INDIRECT(ADDRESS(ROW() + $A$9-9 + (ROW()-11)*4,2,1,1,"Internet")))&gt;1,INDIRECT(ADDRESS(ROW() + $A$9-9 + (ROW()-11)*4,2,1,1,"Internet"))," "))</f>
        <v>Lukáš</v>
      </c>
      <c r="K33" s="457" t="str">
        <f ca="1">IF(N(I33)&gt;0,VLOOKUP(I33,Hraci!$A$1:$I$1500,3,0)," ")</f>
        <v>Petr</v>
      </c>
      <c r="L33" s="457" t="str">
        <f ca="1">IF(N(I33)&gt;0,VLOOKUP(I33,Hraci!$A$1:$I$1500,5,0),IF(TYPE(INDIRECT(ADDRESS(ROW() + $A$9-9 + (ROW()-11)*4,3,1,1,"Internet")))&gt;1,INDIRECT(ADDRESS(ROW() + $A$9-9 + (ROW()-11)*4,3,1,1,"Internet"))," "))</f>
        <v>PLUK Jablonec</v>
      </c>
      <c r="M33" s="395">
        <f ca="1">IF(N(I33)=0,9999,VLOOKUP(I33,Hraci!$A$1:$I$1500,8,0))</f>
        <v>28</v>
      </c>
      <c r="N33" s="458">
        <f ca="1">IF(N(I33)=0,0,VLOOKUP(I33,Hraci!$A$1:$I$1500,9,0))</f>
        <v>39.5</v>
      </c>
      <c r="O33" s="455">
        <f t="shared" ca="1" si="9"/>
        <v>11002</v>
      </c>
      <c r="P33" s="456" t="str">
        <f ca="1">IF(N(O33)&gt;0,VLOOKUP(O33,Hraci!$A$1:$I$1500,2,0),IF(TYPE(INDIRECT(ADDRESS(ROW() + $A$9-8 + (ROW()-11)*4,2,1,1,"Internet")))&gt;1,INDIRECT(ADDRESS(ROW() + $A$9-8 + (ROW()-11)*4,2,1,1,"Internet"))," "))</f>
        <v>Lukášová</v>
      </c>
      <c r="Q33" s="457" t="str">
        <f ca="1">IF(N(O33)&gt;0,VLOOKUP(O33,Hraci!$A$1:$I$1500,3,0)," ")</f>
        <v>Jana</v>
      </c>
      <c r="R33" s="457" t="str">
        <f ca="1">IF(N(O33)&gt;0,VLOOKUP(O33,Hraci!$A$1:$I$1500,5,0),IF(TYPE(INDIRECT(ADDRESS(ROW() + $A$9-8 + (ROW()-11)*4,3,1,1,"Internet")))&gt;1,INDIRECT(ADDRESS(ROW() + $A$9-8 + (ROW()-11)*4,3,1,1,"Internet"))," "))</f>
        <v>PLUK Jablonec</v>
      </c>
      <c r="S33" s="395">
        <f ca="1">IF(N(O33)=0,9999,VLOOKUP(O33,Hraci!$A$1:$I$1500,8,0))</f>
        <v>70</v>
      </c>
      <c r="T33" s="458">
        <f ca="1">IF(N(O33)=0,0,VLOOKUP(O33,Hraci!$A$1:$I$1500,9,0))</f>
        <v>20.937999999999999</v>
      </c>
      <c r="U33" s="455">
        <f t="shared" ca="1" si="10"/>
        <v>10048</v>
      </c>
      <c r="V33" s="456" t="str">
        <f ca="1">IF(N(U33)&gt;0,VLOOKUP(U33,Hraci!$A$1:$I$1500,2,0),IF(TYPE(INDIRECT(ADDRESS(ROW() + $A$9-7 + (ROW()-11)*4,2,1,1,"Internet")))&gt;1,INDIRECT(ADDRESS(ROW() + $A$9-7 + (ROW()-11)*4,2,1,1,"Internet"))," "))</f>
        <v>Valík</v>
      </c>
      <c r="W33" s="457" t="str">
        <f ca="1">IF(N(U33)&gt;0,VLOOKUP(U33,Hraci!$A$1:$I$1500,3,0)," ")</f>
        <v>Václav</v>
      </c>
      <c r="X33" s="457" t="str">
        <f ca="1">IF(N(U33)&gt;0,VLOOKUP(U33,Hraci!$A$1:$I$1500,5,0),IF(TYPE(INDIRECT(ADDRESS(ROW() + $A$9-7 + (ROW()-11)*4,3,1,1,"Internet")))&gt;1,INDIRECT(ADDRESS(ROW() + $A$9-7 + (ROW()-11)*4,3,1,1,"Internet"))," "))</f>
        <v>PAK Albrechtice</v>
      </c>
      <c r="Y33" s="395">
        <f ca="1">IF(N(U33)=0,9999,VLOOKUP(U33,Hraci!$A$1:$I$1500,8,0))</f>
        <v>76</v>
      </c>
      <c r="Z33" s="458">
        <f ca="1">IF(N(U33)=0,0,VLOOKUP(U33,Hraci!$A$1:$I$1500,9,0))</f>
        <v>26.437999999999999</v>
      </c>
      <c r="AA33" s="455" t="str">
        <f t="shared" ca="1" si="11"/>
        <v/>
      </c>
      <c r="AB33" s="456" t="str">
        <f ca="1">IF(N(AA33)&gt;0,VLOOKUP(AA33,Hraci!$A$1:$I$1500,2,0)," ")</f>
        <v xml:space="preserve"> </v>
      </c>
      <c r="AC33" s="457" t="str">
        <f ca="1">IF(N(AA33)&gt;0,VLOOKUP(AA33,Hraci!$A$1:$I$1500,3,0)," ")</f>
        <v xml:space="preserve"> </v>
      </c>
      <c r="AD33" s="457" t="str">
        <f ca="1">IF(N(AA33)&gt;0,VLOOKUP(AA33,Hraci!$A$1:$I$1500,5,0)," ")</f>
        <v xml:space="preserve"> </v>
      </c>
      <c r="AE33" s="395">
        <f ca="1">IF(N(AA33)=0,9999,VLOOKUP(AA33,Hraci!$A$1:$I$1500,8,0))</f>
        <v>9999</v>
      </c>
      <c r="AF33" s="458">
        <f ca="1">IF(N(AA33)=0,0,VLOOKUP(AA33,Hraci!$A$1:$I$1500,9,0))</f>
        <v>0</v>
      </c>
      <c r="AG33" s="459"/>
      <c r="AH33" s="465">
        <f ca="1">IF(TYPE(VLOOKUP(H33,Nasazení!$A$3:$E$130,5,0))&lt;4,VLOOKUP(H33,Nasazení!$A$3:$E$130,5,0),0)</f>
        <v>11</v>
      </c>
      <c r="AI33" s="460">
        <f ca="1">IF(N($AH33)&gt;0,VLOOKUP($AH33,Body!$A$4:$F$259,5,0),"")</f>
        <v>99.945398437500003</v>
      </c>
      <c r="AJ33" s="461">
        <f ca="1">IF(N($AH33)&gt;0,VLOOKUP($AH33,Body!$A$4:$F$259,6,0),"")</f>
        <v>0</v>
      </c>
      <c r="AK33" s="460">
        <f ca="1">IF(N($AH33)&gt;0,VLOOKUP($AH33,Body!$A$4:$F$259,2,0),"")</f>
        <v>2.625</v>
      </c>
      <c r="AL33" s="462" t="str">
        <f t="shared" ca="1" si="12"/>
        <v>23 PLUK Jablonec - Lukáš Petr</v>
      </c>
      <c r="AM33" s="463">
        <f t="shared" ca="1" si="13"/>
        <v>86.876000000000005</v>
      </c>
      <c r="AN33" s="395">
        <f ca="1">IF(OR(TYPE(I33)&gt;1,TYPE(MATCH(I33,I34:I$139,0))&gt;1),0,MATCH(I33,I34:I$139,0))+IF(OR(TYPE(I33)&gt;1,TYPE(MATCH(I33,O$11:O$139,0))&gt;1),0,MATCH(I33,O$11:O$139,0))+IF(OR(TYPE(I33)&gt;1,TYPE(MATCH(I33,U$11:U$139,0))&gt;1),0,MATCH(I33,U$11:U$139,0))+IF(OR(TYPE(I33)&gt;1,TYPE(MATCH(I33,AA$11:AA$139,0))&gt;1),0,MATCH(I33,AA$11:AA$139,0))</f>
        <v>0</v>
      </c>
      <c r="AO33" s="395">
        <f ca="1">IF(OR(TYPE(O33)&gt;1,TYPE(MATCH(O33,I$11:I$139,0))&gt;1),0,MATCH(O33,I$11:I$139,0))+IF(OR(TYPE(O33)&gt;1,TYPE(MATCH(O33,O34:O$139,0))&gt;1),0,MATCH(O33,O34:O$139,0))+IF(OR(TYPE(O33)&gt;1,TYPE(MATCH(O33,U$11:U$139,0))&gt;1),0,MATCH(O33,U$11:U$139,0))+IF(OR(TYPE(O33)&gt;1,TYPE(MATCH(O33,AA$11:AA$139,0))&gt;1),0,MATCH(O33,AA$11:AA$139,0))</f>
        <v>0</v>
      </c>
      <c r="AP33" s="395">
        <f ca="1">IF(OR(TYPE(U33)&gt;1,TYPE(MATCH(U33,I$11:I$139,0))&gt;1),0,MATCH(U33,I$11:I$139,0))+IF(OR(TYPE(U33)&gt;1,TYPE(MATCH(U33,O$11:O$139,0))&gt;1),0,MATCH(U33,O$11:O$139,0))+IF(OR(TYPE(U33)&gt;1,TYPE(MATCH(U33,U34:U$139,0))&gt;1),0,MATCH(U33,U34:U$139,0))+IF(OR(TYPE(U33)&gt;1,TYPE(MATCH(U33,AA$11:AA$139,0))&gt;1),0,MATCH(U33,AA$11:AA$139,0))</f>
        <v>0</v>
      </c>
      <c r="AQ33" s="395">
        <f ca="1">IF(OR(TYPE(AA33)&gt;1,TYPE(MATCH(AA33,I$11:I$139,0))&gt;1),0,MATCH(AA33,I$11:I$139,0))+IF(OR(TYPE(AA33)&gt;1,TYPE(MATCH(AA33,O$11:O$139,0))&gt;1),0,MATCH(AA33,O$11:O$139,0))+IF(OR(TYPE(AA33)&gt;1,TYPE(MATCH(AA33,U$11:U$139,0))&gt;1),0,MATCH(U33,U$11:U$139,0))+IF(OR(TYPE(AA33)&gt;1,TYPE(MATCH(AA33,AA34:AA$139,0))&gt;1),0,MATCH(AA33,AA34:AA$139,0))</f>
        <v>0</v>
      </c>
      <c r="AR33" s="395">
        <f t="shared" ca="1" si="14"/>
        <v>0</v>
      </c>
      <c r="BF33" s="395">
        <f t="shared" si="15"/>
        <v>23</v>
      </c>
    </row>
    <row r="34" spans="1:58" ht="12.9">
      <c r="A34" s="387">
        <f t="shared" ca="1" si="0"/>
        <v>3</v>
      </c>
      <c r="B34" s="387">
        <f t="shared" ca="1" si="1"/>
        <v>1</v>
      </c>
      <c r="C34" s="387">
        <f t="shared" ca="1" si="2"/>
        <v>86.126000000000005</v>
      </c>
      <c r="D34" s="387">
        <f t="shared" ca="1" si="3"/>
        <v>247</v>
      </c>
      <c r="E34" s="387">
        <f t="shared" ca="1" si="4"/>
        <v>44</v>
      </c>
      <c r="F34" s="417" t="str">
        <f t="shared" ca="1" si="5"/>
        <v>91086126999752999955631868</v>
      </c>
      <c r="G34" s="453" t="b">
        <f t="shared" ca="1" si="6"/>
        <v>0</v>
      </c>
      <c r="H34" s="454">
        <f t="shared" si="7"/>
        <v>24</v>
      </c>
      <c r="I34" s="455">
        <f t="shared" ca="1" si="8"/>
        <v>18109</v>
      </c>
      <c r="J34" s="456" t="str">
        <f ca="1">IF(N(I34)&gt;0,VLOOKUP(I34,Hraci!$A$1:$I$1500,2,0),IF(TYPE(INDIRECT(ADDRESS(ROW() + $A$9-9 + (ROW()-11)*4,2,1,1,"Internet")))&gt;1,INDIRECT(ADDRESS(ROW() + $A$9-9 + (ROW()-11)*4,2,1,1,"Internet"))," "))</f>
        <v>Šternberg</v>
      </c>
      <c r="K34" s="457" t="str">
        <f ca="1">IF(N(I34)&gt;0,VLOOKUP(I34,Hraci!$A$1:$I$1500,3,0)," ")</f>
        <v>Martin</v>
      </c>
      <c r="L34" s="457" t="str">
        <f ca="1">IF(N(I34)&gt;0,VLOOKUP(I34,Hraci!$A$1:$I$1500,5,0),IF(TYPE(INDIRECT(ADDRESS(ROW() + $A$9-9 + (ROW()-11)*4,3,1,1,"Internet")))&gt;1,INDIRECT(ADDRESS(ROW() + $A$9-9 + (ROW()-11)*4,3,1,1,"Internet"))," "))</f>
        <v>SPORT Kolín</v>
      </c>
      <c r="M34" s="395">
        <f ca="1">IF(N(I34)=0,9999,VLOOKUP(I34,Hraci!$A$1:$I$1500,8,0))</f>
        <v>60</v>
      </c>
      <c r="N34" s="458">
        <f ca="1">IF(N(I34)=0,0,VLOOKUP(I34,Hraci!$A$1:$I$1500,9,0))</f>
        <v>32.5</v>
      </c>
      <c r="O34" s="455">
        <f t="shared" ca="1" si="9"/>
        <v>16124</v>
      </c>
      <c r="P34" s="456" t="str">
        <f ca="1">IF(N(O34)&gt;0,VLOOKUP(O34,Hraci!$A$1:$I$1500,2,0),IF(TYPE(INDIRECT(ADDRESS(ROW() + $A$9-8 + (ROW()-11)*4,2,1,1,"Internet")))&gt;1,INDIRECT(ADDRESS(ROW() + $A$9-8 + (ROW()-11)*4,2,1,1,"Internet"))," "))</f>
        <v>Malá</v>
      </c>
      <c r="Q34" s="457" t="str">
        <f ca="1">IF(N(O34)&gt;0,VLOOKUP(O34,Hraci!$A$1:$I$1500,3,0)," ")</f>
        <v>Zuzana</v>
      </c>
      <c r="R34" s="457" t="str">
        <f ca="1">IF(N(O34)&gt;0,VLOOKUP(O34,Hraci!$A$1:$I$1500,5,0),IF(TYPE(INDIRECT(ADDRESS(ROW() + $A$9-8 + (ROW()-11)*4,3,1,1,"Internet")))&gt;1,INDIRECT(ADDRESS(ROW() + $A$9-8 + (ROW()-11)*4,3,1,1,"Internet"))," "))</f>
        <v>SPORT Kolín</v>
      </c>
      <c r="S34" s="395">
        <f ca="1">IF(N(O34)=0,9999,VLOOKUP(O34,Hraci!$A$1:$I$1500,8,0))</f>
        <v>143</v>
      </c>
      <c r="T34" s="458">
        <f ca="1">IF(N(O34)=0,0,VLOOKUP(O34,Hraci!$A$1:$I$1500,9,0))</f>
        <v>24.501000000000001</v>
      </c>
      <c r="U34" s="455">
        <f t="shared" ca="1" si="10"/>
        <v>15065</v>
      </c>
      <c r="V34" s="456" t="str">
        <f ca="1">IF(N(U34)&gt;0,VLOOKUP(U34,Hraci!$A$1:$I$1500,2,0),IF(TYPE(INDIRECT(ADDRESS(ROW() + $A$9-7 + (ROW()-11)*4,2,1,1,"Internet")))&gt;1,INDIRECT(ADDRESS(ROW() + $A$9-7 + (ROW()-11)*4,2,1,1,"Internet"))," "))</f>
        <v>Palas</v>
      </c>
      <c r="W34" s="457" t="str">
        <f ca="1">IF(N(U34)&gt;0,VLOOKUP(U34,Hraci!$A$1:$I$1500,3,0)," ")</f>
        <v>Pavel</v>
      </c>
      <c r="X34" s="457" t="str">
        <f ca="1">IF(N(U34)&gt;0,VLOOKUP(U34,Hraci!$A$1:$I$1500,5,0),IF(TYPE(INDIRECT(ADDRESS(ROW() + $A$9-7 + (ROW()-11)*4,3,1,1,"Internet")))&gt;1,INDIRECT(ADDRESS(ROW() + $A$9-7 + (ROW()-11)*4,3,1,1,"Internet"))," "))</f>
        <v>UBU Únětice</v>
      </c>
      <c r="Y34" s="395">
        <f ca="1">IF(N(U34)=0,9999,VLOOKUP(U34,Hraci!$A$1:$I$1500,8,0))</f>
        <v>44</v>
      </c>
      <c r="Z34" s="458">
        <f ca="1">IF(N(U34)=0,0,VLOOKUP(U34,Hraci!$A$1:$I$1500,9,0))</f>
        <v>29.125</v>
      </c>
      <c r="AA34" s="455" t="str">
        <f t="shared" ca="1" si="11"/>
        <v/>
      </c>
      <c r="AB34" s="456" t="str">
        <f ca="1">IF(N(AA34)&gt;0,VLOOKUP(AA34,Hraci!$A$1:$I$1500,2,0)," ")</f>
        <v xml:space="preserve"> </v>
      </c>
      <c r="AC34" s="457" t="str">
        <f ca="1">IF(N(AA34)&gt;0,VLOOKUP(AA34,Hraci!$A$1:$I$1500,3,0)," ")</f>
        <v xml:space="preserve"> </v>
      </c>
      <c r="AD34" s="457" t="str">
        <f ca="1">IF(N(AA34)&gt;0,VLOOKUP(AA34,Hraci!$A$1:$I$1500,5,0)," ")</f>
        <v xml:space="preserve"> </v>
      </c>
      <c r="AE34" s="395">
        <f ca="1">IF(N(AA34)=0,9999,VLOOKUP(AA34,Hraci!$A$1:$I$1500,8,0))</f>
        <v>9999</v>
      </c>
      <c r="AF34" s="458">
        <f ca="1">IF(N(AA34)=0,0,VLOOKUP(AA34,Hraci!$A$1:$I$1500,9,0))</f>
        <v>0</v>
      </c>
      <c r="AG34" s="459"/>
      <c r="AH34" s="465">
        <f ca="1">IF(TYPE(VLOOKUP(H34,Nasazení!$A$3:$E$130,5,0))&lt;4,VLOOKUP(H34,Nasazení!$A$3:$E$130,5,0),0)</f>
        <v>32</v>
      </c>
      <c r="AI34" s="460">
        <f ca="1">IF(N($AH34)&gt;0,VLOOKUP($AH34,Body!$A$4:$F$259,5,0),"")</f>
        <v>38.074437500000002</v>
      </c>
      <c r="AJ34" s="461">
        <f ca="1">IF(N($AH34)&gt;0,VLOOKUP($AH34,Body!$A$4:$F$259,6,0),"")</f>
        <v>0</v>
      </c>
      <c r="AK34" s="460">
        <f ca="1">IF(N($AH34)&gt;0,VLOOKUP($AH34,Body!$A$4:$F$259,2,0),"")</f>
        <v>1</v>
      </c>
      <c r="AL34" s="462" t="str">
        <f t="shared" ca="1" si="12"/>
        <v>24 SPORT Kolín - Šternberg Martin</v>
      </c>
      <c r="AM34" s="463">
        <f t="shared" ca="1" si="13"/>
        <v>86.126000000000005</v>
      </c>
      <c r="AN34" s="395">
        <f ca="1">IF(OR(TYPE(I34)&gt;1,TYPE(MATCH(I34,I35:I$139,0))&gt;1),0,MATCH(I34,I35:I$139,0))+IF(OR(TYPE(I34)&gt;1,TYPE(MATCH(I34,O$11:O$139,0))&gt;1),0,MATCH(I34,O$11:O$139,0))+IF(OR(TYPE(I34)&gt;1,TYPE(MATCH(I34,U$11:U$139,0))&gt;1),0,MATCH(I34,U$11:U$139,0))+IF(OR(TYPE(I34)&gt;1,TYPE(MATCH(I34,AA$11:AA$139,0))&gt;1),0,MATCH(I34,AA$11:AA$139,0))</f>
        <v>0</v>
      </c>
      <c r="AO34" s="395">
        <f ca="1">IF(OR(TYPE(O34)&gt;1,TYPE(MATCH(O34,I$11:I$139,0))&gt;1),0,MATCH(O34,I$11:I$139,0))+IF(OR(TYPE(O34)&gt;1,TYPE(MATCH(O34,O35:O$139,0))&gt;1),0,MATCH(O34,O35:O$139,0))+IF(OR(TYPE(O34)&gt;1,TYPE(MATCH(O34,U$11:U$139,0))&gt;1),0,MATCH(O34,U$11:U$139,0))+IF(OR(TYPE(O34)&gt;1,TYPE(MATCH(O34,AA$11:AA$139,0))&gt;1),0,MATCH(O34,AA$11:AA$139,0))</f>
        <v>0</v>
      </c>
      <c r="AP34" s="395">
        <f ca="1">IF(OR(TYPE(U34)&gt;1,TYPE(MATCH(U34,I$11:I$139,0))&gt;1),0,MATCH(U34,I$11:I$139,0))+IF(OR(TYPE(U34)&gt;1,TYPE(MATCH(U34,O$11:O$139,0))&gt;1),0,MATCH(U34,O$11:O$139,0))+IF(OR(TYPE(U34)&gt;1,TYPE(MATCH(U34,U35:U$139,0))&gt;1),0,MATCH(U34,U35:U$139,0))+IF(OR(TYPE(U34)&gt;1,TYPE(MATCH(U34,AA$11:AA$139,0))&gt;1),0,MATCH(U34,AA$11:AA$139,0))</f>
        <v>0</v>
      </c>
      <c r="AQ34" s="395">
        <f ca="1">IF(OR(TYPE(AA34)&gt;1,TYPE(MATCH(AA34,I$11:I$139,0))&gt;1),0,MATCH(AA34,I$11:I$139,0))+IF(OR(TYPE(AA34)&gt;1,TYPE(MATCH(AA34,O$11:O$139,0))&gt;1),0,MATCH(AA34,O$11:O$139,0))+IF(OR(TYPE(AA34)&gt;1,TYPE(MATCH(AA34,U$11:U$139,0))&gt;1),0,MATCH(U34,U$11:U$139,0))+IF(OR(TYPE(AA34)&gt;1,TYPE(MATCH(AA34,AA35:AA$139,0))&gt;1),0,MATCH(AA34,AA35:AA$139,0))</f>
        <v>0</v>
      </c>
      <c r="AR34" s="395">
        <f t="shared" ca="1" si="14"/>
        <v>0</v>
      </c>
      <c r="BF34" s="395">
        <f t="shared" si="15"/>
        <v>24</v>
      </c>
    </row>
    <row r="35" spans="1:58" ht="12.9">
      <c r="A35" s="387">
        <f t="shared" ca="1" si="0"/>
        <v>3</v>
      </c>
      <c r="B35" s="387">
        <f t="shared" ca="1" si="1"/>
        <v>1</v>
      </c>
      <c r="C35" s="387">
        <f t="shared" ca="1" si="2"/>
        <v>83.814999999999998</v>
      </c>
      <c r="D35" s="387">
        <f t="shared" ca="1" si="3"/>
        <v>376</v>
      </c>
      <c r="E35" s="387">
        <f t="shared" ca="1" si="4"/>
        <v>108</v>
      </c>
      <c r="F35" s="417" t="str">
        <f t="shared" ca="1" si="5"/>
        <v>91083815999623999891180886</v>
      </c>
      <c r="G35" s="453" t="b">
        <f t="shared" ca="1" si="6"/>
        <v>0</v>
      </c>
      <c r="H35" s="454">
        <f t="shared" si="7"/>
        <v>25</v>
      </c>
      <c r="I35" s="455">
        <f t="shared" ca="1" si="8"/>
        <v>16133</v>
      </c>
      <c r="J35" s="456" t="str">
        <f ca="1">IF(N(I35)&gt;0,VLOOKUP(I35,Hraci!$A$1:$I$1500,2,0),IF(TYPE(INDIRECT(ADDRESS(ROW() + $A$9-9 + (ROW()-11)*4,2,1,1,"Internet")))&gt;1,INDIRECT(ADDRESS(ROW() + $A$9-9 + (ROW()-11)*4,2,1,1,"Internet"))," "))</f>
        <v>Strouhalová</v>
      </c>
      <c r="K35" s="457" t="str">
        <f ca="1">IF(N(I35)&gt;0,VLOOKUP(I35,Hraci!$A$1:$I$1500,3,0)," ")</f>
        <v>Terezie</v>
      </c>
      <c r="L35" s="457" t="str">
        <f ca="1">IF(N(I35)&gt;0,VLOOKUP(I35,Hraci!$A$1:$I$1500,5,0),IF(TYPE(INDIRECT(ADDRESS(ROW() + $A$9-9 + (ROW()-11)*4,3,1,1,"Internet")))&gt;1,INDIRECT(ADDRESS(ROW() + $A$9-9 + (ROW()-11)*4,3,1,1,"Internet"))," "))</f>
        <v>1. Starobrněnský PK</v>
      </c>
      <c r="M35" s="395">
        <f ca="1">IF(N(I35)=0,9999,VLOOKUP(I35,Hraci!$A$1:$I$1500,8,0))</f>
        <v>108</v>
      </c>
      <c r="N35" s="458">
        <f ca="1">IF(N(I35)=0,0,VLOOKUP(I35,Hraci!$A$1:$I$1500,9,0))</f>
        <v>27.314</v>
      </c>
      <c r="O35" s="455">
        <f t="shared" ca="1" si="9"/>
        <v>18099</v>
      </c>
      <c r="P35" s="456" t="str">
        <f ca="1">IF(N(O35)&gt;0,VLOOKUP(O35,Hraci!$A$1:$I$1500,2,0),IF(TYPE(INDIRECT(ADDRESS(ROW() + $A$9-8 + (ROW()-11)*4,2,1,1,"Internet")))&gt;1,INDIRECT(ADDRESS(ROW() + $A$9-8 + (ROW()-11)*4,2,1,1,"Internet"))," "))</f>
        <v>Merta</v>
      </c>
      <c r="Q35" s="457" t="str">
        <f ca="1">IF(N(O35)&gt;0,VLOOKUP(O35,Hraci!$A$1:$I$1500,3,0)," ")</f>
        <v>Lukáš</v>
      </c>
      <c r="R35" s="457" t="str">
        <f ca="1">IF(N(O35)&gt;0,VLOOKUP(O35,Hraci!$A$1:$I$1500,5,0),IF(TYPE(INDIRECT(ADDRESS(ROW() + $A$9-8 + (ROW()-11)*4,3,1,1,"Internet")))&gt;1,INDIRECT(ADDRESS(ROW() + $A$9-8 + (ROW()-11)*4,3,1,1,"Internet"))," "))</f>
        <v>1. Starobrněnský PK</v>
      </c>
      <c r="S35" s="395">
        <f ca="1">IF(N(O35)=0,9999,VLOOKUP(O35,Hraci!$A$1:$I$1500,8,0))</f>
        <v>114</v>
      </c>
      <c r="T35" s="458">
        <f ca="1">IF(N(O35)=0,0,VLOOKUP(O35,Hraci!$A$1:$I$1500,9,0))</f>
        <v>32.625</v>
      </c>
      <c r="U35" s="455">
        <f t="shared" ca="1" si="10"/>
        <v>21072</v>
      </c>
      <c r="V35" s="456" t="str">
        <f ca="1">IF(N(U35)&gt;0,VLOOKUP(U35,Hraci!$A$1:$I$1500,2,0),IF(TYPE(INDIRECT(ADDRESS(ROW() + $A$9-7 + (ROW()-11)*4,2,1,1,"Internet")))&gt;1,INDIRECT(ADDRESS(ROW() + $A$9-7 + (ROW()-11)*4,2,1,1,"Internet"))," "))</f>
        <v>Kutra</v>
      </c>
      <c r="W35" s="457" t="str">
        <f ca="1">IF(N(U35)&gt;0,VLOOKUP(U35,Hraci!$A$1:$I$1500,3,0)," ")</f>
        <v>Oldřích</v>
      </c>
      <c r="X35" s="457" t="str">
        <f ca="1">IF(N(U35)&gt;0,VLOOKUP(U35,Hraci!$A$1:$I$1500,5,0),IF(TYPE(INDIRECT(ADDRESS(ROW() + $A$9-7 + (ROW()-11)*4,3,1,1,"Internet")))&gt;1,INDIRECT(ADDRESS(ROW() + $A$9-7 + (ROW()-11)*4,3,1,1,"Internet"))," "))</f>
        <v>1. Starobrněnský PK</v>
      </c>
      <c r="Y35" s="395">
        <f ca="1">IF(N(U35)=0,9999,VLOOKUP(U35,Hraci!$A$1:$I$1500,8,0))</f>
        <v>154</v>
      </c>
      <c r="Z35" s="458">
        <f ca="1">IF(N(U35)=0,0,VLOOKUP(U35,Hraci!$A$1:$I$1500,9,0))</f>
        <v>23.876000000000001</v>
      </c>
      <c r="AA35" s="455" t="str">
        <f t="shared" ca="1" si="11"/>
        <v/>
      </c>
      <c r="AB35" s="456" t="str">
        <f ca="1">IF(N(AA35)&gt;0,VLOOKUP(AA35,Hraci!$A$1:$I$1500,2,0)," ")</f>
        <v xml:space="preserve"> </v>
      </c>
      <c r="AC35" s="457" t="str">
        <f ca="1">IF(N(AA35)&gt;0,VLOOKUP(AA35,Hraci!$A$1:$I$1500,3,0)," ")</f>
        <v xml:space="preserve"> </v>
      </c>
      <c r="AD35" s="457" t="str">
        <f ca="1">IF(N(AA35)&gt;0,VLOOKUP(AA35,Hraci!$A$1:$I$1500,5,0)," ")</f>
        <v xml:space="preserve"> </v>
      </c>
      <c r="AE35" s="395">
        <f ca="1">IF(N(AA35)=0,9999,VLOOKUP(AA35,Hraci!$A$1:$I$1500,8,0))</f>
        <v>9999</v>
      </c>
      <c r="AF35" s="458">
        <f ca="1">IF(N(AA35)=0,0,VLOOKUP(AA35,Hraci!$A$1:$I$1500,9,0))</f>
        <v>0</v>
      </c>
      <c r="AG35" s="459"/>
      <c r="AH35" s="465">
        <v>48</v>
      </c>
      <c r="AI35" s="460">
        <f ca="1">IF(N($AH35)&gt;0,VLOOKUP($AH35,Body!$A$4:$F$259,5,0),"")</f>
        <v>19.037218750000001</v>
      </c>
      <c r="AJ35" s="461">
        <f ca="1">IF(N($AH35)&gt;0,VLOOKUP($AH35,Body!$A$4:$F$259,6,0),"")</f>
        <v>0</v>
      </c>
      <c r="AK35" s="460">
        <f ca="1">IF(N($AH35)&gt;0,VLOOKUP($AH35,Body!$A$4:$F$259,2,0),"")</f>
        <v>0.5</v>
      </c>
      <c r="AL35" s="462" t="str">
        <f t="shared" ca="1" si="12"/>
        <v>25 1. Starobrněnský PK - Strouhalová Terezie</v>
      </c>
      <c r="AM35" s="463">
        <f t="shared" ca="1" si="13"/>
        <v>83.814999999999998</v>
      </c>
      <c r="AN35" s="395">
        <f ca="1">IF(OR(TYPE(I35)&gt;1,TYPE(MATCH(I35,I36:I$139,0))&gt;1),0,MATCH(I35,I36:I$139,0))+IF(OR(TYPE(I35)&gt;1,TYPE(MATCH(I35,O$11:O$139,0))&gt;1),0,MATCH(I35,O$11:O$139,0))+IF(OR(TYPE(I35)&gt;1,TYPE(MATCH(I35,U$11:U$139,0))&gt;1),0,MATCH(I35,U$11:U$139,0))+IF(OR(TYPE(I35)&gt;1,TYPE(MATCH(I35,AA$11:AA$139,0))&gt;1),0,MATCH(I35,AA$11:AA$139,0))</f>
        <v>0</v>
      </c>
      <c r="AO35" s="395">
        <f ca="1">IF(OR(TYPE(O35)&gt;1,TYPE(MATCH(O35,I$11:I$139,0))&gt;1),0,MATCH(O35,I$11:I$139,0))+IF(OR(TYPE(O35)&gt;1,TYPE(MATCH(O35,O36:O$139,0))&gt;1),0,MATCH(O35,O36:O$139,0))+IF(OR(TYPE(O35)&gt;1,TYPE(MATCH(O35,U$11:U$139,0))&gt;1),0,MATCH(O35,U$11:U$139,0))+IF(OR(TYPE(O35)&gt;1,TYPE(MATCH(O35,AA$11:AA$139,0))&gt;1),0,MATCH(O35,AA$11:AA$139,0))</f>
        <v>0</v>
      </c>
      <c r="AP35" s="395">
        <f ca="1">IF(OR(TYPE(U35)&gt;1,TYPE(MATCH(U35,I$11:I$139,0))&gt;1),0,MATCH(U35,I$11:I$139,0))+IF(OR(TYPE(U35)&gt;1,TYPE(MATCH(U35,O$11:O$139,0))&gt;1),0,MATCH(U35,O$11:O$139,0))+IF(OR(TYPE(U35)&gt;1,TYPE(MATCH(U35,U36:U$139,0))&gt;1),0,MATCH(U35,U36:U$139,0))+IF(OR(TYPE(U35)&gt;1,TYPE(MATCH(U35,AA$11:AA$139,0))&gt;1),0,MATCH(U35,AA$11:AA$139,0))</f>
        <v>0</v>
      </c>
      <c r="AQ35" s="395">
        <f ca="1">IF(OR(TYPE(AA35)&gt;1,TYPE(MATCH(AA35,I$11:I$139,0))&gt;1),0,MATCH(AA35,I$11:I$139,0))+IF(OR(TYPE(AA35)&gt;1,TYPE(MATCH(AA35,O$11:O$139,0))&gt;1),0,MATCH(AA35,O$11:O$139,0))+IF(OR(TYPE(AA35)&gt;1,TYPE(MATCH(AA35,U$11:U$139,0))&gt;1),0,MATCH(U35,U$11:U$139,0))+IF(OR(TYPE(AA35)&gt;1,TYPE(MATCH(AA35,AA36:AA$139,0))&gt;1),0,MATCH(AA35,AA36:AA$139,0))</f>
        <v>0</v>
      </c>
      <c r="AR35" s="395">
        <f t="shared" ca="1" si="14"/>
        <v>0</v>
      </c>
      <c r="BF35" s="395">
        <f t="shared" si="15"/>
        <v>25</v>
      </c>
    </row>
    <row r="36" spans="1:58" ht="12.9">
      <c r="A36" s="387">
        <f t="shared" ca="1" si="0"/>
        <v>3</v>
      </c>
      <c r="B36" s="387">
        <f t="shared" ca="1" si="1"/>
        <v>1</v>
      </c>
      <c r="C36" s="387">
        <f t="shared" ca="1" si="2"/>
        <v>83</v>
      </c>
      <c r="D36" s="387">
        <f t="shared" ca="1" si="3"/>
        <v>248</v>
      </c>
      <c r="E36" s="387">
        <f t="shared" ca="1" si="4"/>
        <v>13</v>
      </c>
      <c r="F36" s="417" t="str">
        <f t="shared" ca="1" si="5"/>
        <v>91083000999751999986047775</v>
      </c>
      <c r="G36" s="453" t="b">
        <f t="shared" ca="1" si="6"/>
        <v>0</v>
      </c>
      <c r="H36" s="454">
        <f t="shared" si="7"/>
        <v>26</v>
      </c>
      <c r="I36" s="455">
        <f t="shared" ca="1" si="8"/>
        <v>21912</v>
      </c>
      <c r="J36" s="456" t="str">
        <f ca="1">IF(N(I36)&gt;0,VLOOKUP(I36,Hraci!$A$1:$I$1500,2,0),IF(TYPE(INDIRECT(ADDRESS(ROW() + $A$9-9 + (ROW()-11)*4,2,1,1,"Internet")))&gt;1,INDIRECT(ADDRESS(ROW() + $A$9-9 + (ROW()-11)*4,2,1,1,"Internet"))," "))</f>
        <v>Koreš st.</v>
      </c>
      <c r="K36" s="457" t="str">
        <f ca="1">IF(N(I36)&gt;0,VLOOKUP(I36,Hraci!$A$1:$I$1500,3,0)," ")</f>
        <v>Jiří</v>
      </c>
      <c r="L36" s="457" t="str">
        <f ca="1">IF(N(I36)&gt;0,VLOOKUP(I36,Hraci!$A$1:$I$1500,5,0),IF(TYPE(INDIRECT(ADDRESS(ROW() + $A$9-9 + (ROW()-11)*4,3,1,1,"Internet")))&gt;1,INDIRECT(ADDRESS(ROW() + $A$9-9 + (ROW()-11)*4,3,1,1,"Internet"))," "))</f>
        <v>HAVAJ CB</v>
      </c>
      <c r="M36" s="395">
        <f ca="1">IF(N(I36)=0,9999,VLOOKUP(I36,Hraci!$A$1:$I$1500,8,0))</f>
        <v>13</v>
      </c>
      <c r="N36" s="458">
        <f ca="1">IF(N(I36)=0,0,VLOOKUP(I36,Hraci!$A$1:$I$1500,9,0))</f>
        <v>41</v>
      </c>
      <c r="O36" s="455">
        <f t="shared" ca="1" si="9"/>
        <v>24310</v>
      </c>
      <c r="P36" s="456" t="str">
        <f ca="1">IF(N(O36)&gt;0,VLOOKUP(O36,Hraci!$A$1:$I$1500,2,0),IF(TYPE(INDIRECT(ADDRESS(ROW() + $A$9-8 + (ROW()-11)*4,2,1,1,"Internet")))&gt;1,INDIRECT(ADDRESS(ROW() + $A$9-8 + (ROW()-11)*4,2,1,1,"Internet"))," "))</f>
        <v>Netušil</v>
      </c>
      <c r="Q36" s="457" t="str">
        <f ca="1">IF(N(O36)&gt;0,VLOOKUP(O36,Hraci!$A$1:$I$1500,3,0)," ")</f>
        <v>Radek</v>
      </c>
      <c r="R36" s="457" t="str">
        <f ca="1">IF(N(O36)&gt;0,VLOOKUP(O36,Hraci!$A$1:$I$1500,5,0),IF(TYPE(INDIRECT(ADDRESS(ROW() + $A$9-8 + (ROW()-11)*4,3,1,1,"Internet")))&gt;1,INDIRECT(ADDRESS(ROW() + $A$9-8 + (ROW()-11)*4,3,1,1,"Internet"))," "))</f>
        <v>P.C.B.D.</v>
      </c>
      <c r="S36" s="395">
        <f ca="1">IF(N(O36)=0,9999,VLOOKUP(O36,Hraci!$A$1:$I$1500,8,0))</f>
        <v>87</v>
      </c>
      <c r="T36" s="458">
        <f ca="1">IF(N(O36)=0,0,VLOOKUP(O36,Hraci!$A$1:$I$1500,9,0))</f>
        <v>30</v>
      </c>
      <c r="U36" s="455">
        <f t="shared" ca="1" si="10"/>
        <v>22991</v>
      </c>
      <c r="V36" s="456" t="str">
        <f ca="1">IF(N(U36)&gt;0,VLOOKUP(U36,Hraci!$A$1:$I$1500,2,0),IF(TYPE(INDIRECT(ADDRESS(ROW() + $A$9-7 + (ROW()-11)*4,2,1,1,"Internet")))&gt;1,INDIRECT(ADDRESS(ROW() + $A$9-7 + (ROW()-11)*4,2,1,1,"Internet"))," "))</f>
        <v>Koreš ml.</v>
      </c>
      <c r="W36" s="457" t="str">
        <f ca="1">IF(N(U36)&gt;0,VLOOKUP(U36,Hraci!$A$1:$I$1500,3,0)," ")</f>
        <v>Jiří</v>
      </c>
      <c r="X36" s="457" t="str">
        <f ca="1">IF(N(U36)&gt;0,VLOOKUP(U36,Hraci!$A$1:$I$1500,5,0),IF(TYPE(INDIRECT(ADDRESS(ROW() + $A$9-7 + (ROW()-11)*4,3,1,1,"Internet")))&gt;1,INDIRECT(ADDRESS(ROW() + $A$9-7 + (ROW()-11)*4,3,1,1,"Internet"))," "))</f>
        <v>HAVAJ CB</v>
      </c>
      <c r="Y36" s="395">
        <f ca="1">IF(N(U36)=0,9999,VLOOKUP(U36,Hraci!$A$1:$I$1500,8,0))</f>
        <v>148</v>
      </c>
      <c r="Z36" s="458">
        <f ca="1">IF(N(U36)=0,0,VLOOKUP(U36,Hraci!$A$1:$I$1500,9,0))</f>
        <v>12</v>
      </c>
      <c r="AA36" s="455" t="str">
        <f t="shared" ca="1" si="11"/>
        <v/>
      </c>
      <c r="AB36" s="456" t="str">
        <f ca="1">IF(N(AA36)&gt;0,VLOOKUP(AA36,Hraci!$A$1:$I$1500,2,0)," ")</f>
        <v xml:space="preserve"> </v>
      </c>
      <c r="AC36" s="457" t="str">
        <f ca="1">IF(N(AA36)&gt;0,VLOOKUP(AA36,Hraci!$A$1:$I$1500,3,0)," ")</f>
        <v xml:space="preserve"> </v>
      </c>
      <c r="AD36" s="457" t="str">
        <f ca="1">IF(N(AA36)&gt;0,VLOOKUP(AA36,Hraci!$A$1:$I$1500,5,0)," ")</f>
        <v xml:space="preserve"> </v>
      </c>
      <c r="AE36" s="395">
        <f ca="1">IF(N(AA36)=0,9999,VLOOKUP(AA36,Hraci!$A$1:$I$1500,8,0))</f>
        <v>9999</v>
      </c>
      <c r="AF36" s="458">
        <f ca="1">IF(N(AA36)=0,0,VLOOKUP(AA36,Hraci!$A$1:$I$1500,9,0))</f>
        <v>0</v>
      </c>
      <c r="AG36" s="459"/>
      <c r="AH36" s="465">
        <f ca="1">IF(TYPE(VLOOKUP(H36,Nasazení!$A$3:$E$130,5,0))&lt;4,VLOOKUP(H36,Nasazení!$A$3:$E$130,5,0),0)</f>
        <v>3</v>
      </c>
      <c r="AI36" s="460">
        <f ca="1">IF(N($AH36)&gt;0,VLOOKUP($AH36,Body!$A$4:$F$259,5,0),"")</f>
        <v>171.33496875</v>
      </c>
      <c r="AJ36" s="461">
        <f ca="1">IF(N($AH36)&gt;0,VLOOKUP($AH36,Body!$A$4:$F$259,6,0),"")</f>
        <v>0</v>
      </c>
      <c r="AK36" s="460">
        <f ca="1">IF(N($AH36)&gt;0,VLOOKUP($AH36,Body!$A$4:$F$259,2,0),"")</f>
        <v>4.5</v>
      </c>
      <c r="AL36" s="462" t="str">
        <f t="shared" ca="1" si="12"/>
        <v>26 HAVAJ CB - Koreš st. Jiří</v>
      </c>
      <c r="AM36" s="463">
        <f t="shared" ca="1" si="13"/>
        <v>83</v>
      </c>
      <c r="AN36" s="395">
        <f ca="1">IF(OR(TYPE(I36)&gt;1,TYPE(MATCH(I36,I37:I$139,0))&gt;1),0,MATCH(I36,I37:I$139,0))+IF(OR(TYPE(I36)&gt;1,TYPE(MATCH(I36,O$11:O$139,0))&gt;1),0,MATCH(I36,O$11:O$139,0))+IF(OR(TYPE(I36)&gt;1,TYPE(MATCH(I36,U$11:U$139,0))&gt;1),0,MATCH(I36,U$11:U$139,0))+IF(OR(TYPE(I36)&gt;1,TYPE(MATCH(I36,AA$11:AA$139,0))&gt;1),0,MATCH(I36,AA$11:AA$139,0))</f>
        <v>0</v>
      </c>
      <c r="AO36" s="395">
        <f ca="1">IF(OR(TYPE(O36)&gt;1,TYPE(MATCH(O36,I$11:I$139,0))&gt;1),0,MATCH(O36,I$11:I$139,0))+IF(OR(TYPE(O36)&gt;1,TYPE(MATCH(O36,O37:O$139,0))&gt;1),0,MATCH(O36,O37:O$139,0))+IF(OR(TYPE(O36)&gt;1,TYPE(MATCH(O36,U$11:U$139,0))&gt;1),0,MATCH(O36,U$11:U$139,0))+IF(OR(TYPE(O36)&gt;1,TYPE(MATCH(O36,AA$11:AA$139,0))&gt;1),0,MATCH(O36,AA$11:AA$139,0))</f>
        <v>0</v>
      </c>
      <c r="AP36" s="395">
        <f ca="1">IF(OR(TYPE(U36)&gt;1,TYPE(MATCH(U36,I$11:I$139,0))&gt;1),0,MATCH(U36,I$11:I$139,0))+IF(OR(TYPE(U36)&gt;1,TYPE(MATCH(U36,O$11:O$139,0))&gt;1),0,MATCH(U36,O$11:O$139,0))+IF(OR(TYPE(U36)&gt;1,TYPE(MATCH(U36,U37:U$139,0))&gt;1),0,MATCH(U36,U37:U$139,0))+IF(OR(TYPE(U36)&gt;1,TYPE(MATCH(U36,AA$11:AA$139,0))&gt;1),0,MATCH(U36,AA$11:AA$139,0))</f>
        <v>0</v>
      </c>
      <c r="AQ36" s="395">
        <f ca="1">IF(OR(TYPE(AA36)&gt;1,TYPE(MATCH(AA36,I$11:I$139,0))&gt;1),0,MATCH(AA36,I$11:I$139,0))+IF(OR(TYPE(AA36)&gt;1,TYPE(MATCH(AA36,O$11:O$139,0))&gt;1),0,MATCH(AA36,O$11:O$139,0))+IF(OR(TYPE(AA36)&gt;1,TYPE(MATCH(AA36,U$11:U$139,0))&gt;1),0,MATCH(U36,U$11:U$139,0))+IF(OR(TYPE(AA36)&gt;1,TYPE(MATCH(AA36,AA37:AA$139,0))&gt;1),0,MATCH(AA36,AA37:AA$139,0))</f>
        <v>0</v>
      </c>
      <c r="AR36" s="395">
        <f t="shared" ca="1" si="14"/>
        <v>0</v>
      </c>
      <c r="BF36" s="395">
        <f t="shared" si="15"/>
        <v>26</v>
      </c>
    </row>
    <row r="37" spans="1:58" ht="12.9">
      <c r="A37" s="387">
        <f t="shared" ca="1" si="0"/>
        <v>3</v>
      </c>
      <c r="B37" s="387">
        <f t="shared" ca="1" si="1"/>
        <v>1</v>
      </c>
      <c r="C37" s="387">
        <f t="shared" ca="1" si="2"/>
        <v>82.938999999999993</v>
      </c>
      <c r="D37" s="387">
        <f t="shared" ca="1" si="3"/>
        <v>360</v>
      </c>
      <c r="E37" s="387">
        <f t="shared" ca="1" si="4"/>
        <v>39</v>
      </c>
      <c r="F37" s="417" t="str">
        <f t="shared" ca="1" si="5"/>
        <v>91082939999639999960704207</v>
      </c>
      <c r="G37" s="453" t="b">
        <f t="shared" ca="1" si="6"/>
        <v>0</v>
      </c>
      <c r="H37" s="454">
        <f t="shared" si="7"/>
        <v>27</v>
      </c>
      <c r="I37" s="455">
        <f t="shared" ca="1" si="8"/>
        <v>11038</v>
      </c>
      <c r="J37" s="456" t="str">
        <f ca="1">IF(N(I37)&gt;0,VLOOKUP(I37,Hraci!$A$1:$I$1500,2,0),IF(TYPE(INDIRECT(ADDRESS(ROW() + $A$9-9 + (ROW()-11)*4,2,1,1,"Internet")))&gt;1,INDIRECT(ADDRESS(ROW() + $A$9-9 + (ROW()-11)*4,2,1,1,"Internet"))," "))</f>
        <v>Kapeš</v>
      </c>
      <c r="K37" s="457" t="str">
        <f ca="1">IF(N(I37)&gt;0,VLOOKUP(I37,Hraci!$A$1:$I$1500,3,0)," ")</f>
        <v>Roman</v>
      </c>
      <c r="L37" s="457" t="str">
        <f ca="1">IF(N(I37)&gt;0,VLOOKUP(I37,Hraci!$A$1:$I$1500,5,0),IF(TYPE(INDIRECT(ADDRESS(ROW() + $A$9-9 + (ROW()-11)*4,3,1,1,"Internet")))&gt;1,INDIRECT(ADDRESS(ROW() + $A$9-9 + (ROW()-11)*4,3,1,1,"Internet"))," "))</f>
        <v>1. KPK Vrchlabí</v>
      </c>
      <c r="M37" s="395">
        <f ca="1">IF(N(I37)=0,9999,VLOOKUP(I37,Hraci!$A$1:$I$1500,8,0))</f>
        <v>266</v>
      </c>
      <c r="N37" s="458">
        <f ca="1">IF(N(I37)=0,0,VLOOKUP(I37,Hraci!$A$1:$I$1500,9,0))</f>
        <v>8.0640000000000001</v>
      </c>
      <c r="O37" s="455">
        <f t="shared" ca="1" si="9"/>
        <v>15067</v>
      </c>
      <c r="P37" s="456" t="str">
        <f ca="1">IF(N(O37)&gt;0,VLOOKUP(O37,Hraci!$A$1:$I$1500,2,0),IF(TYPE(INDIRECT(ADDRESS(ROW() + $A$9-8 + (ROW()-11)*4,2,1,1,"Internet")))&gt;1,INDIRECT(ADDRESS(ROW() + $A$9-8 + (ROW()-11)*4,2,1,1,"Internet"))," "))</f>
        <v>Vyoral</v>
      </c>
      <c r="Q37" s="457" t="str">
        <f ca="1">IF(N(O37)&gt;0,VLOOKUP(O37,Hraci!$A$1:$I$1500,3,0)," ")</f>
        <v>Hynek</v>
      </c>
      <c r="R37" s="457" t="str">
        <f ca="1">IF(N(O37)&gt;0,VLOOKUP(O37,Hraci!$A$1:$I$1500,5,0),IF(TYPE(INDIRECT(ADDRESS(ROW() + $A$9-8 + (ROW()-11)*4,3,1,1,"Internet")))&gt;1,INDIRECT(ADDRESS(ROW() + $A$9-8 + (ROW()-11)*4,3,1,1,"Internet"))," "))</f>
        <v>PC Sokol Lipník</v>
      </c>
      <c r="S37" s="395">
        <f ca="1">IF(N(O37)=0,9999,VLOOKUP(O37,Hraci!$A$1:$I$1500,8,0))</f>
        <v>39</v>
      </c>
      <c r="T37" s="458">
        <f ca="1">IF(N(O37)=0,0,VLOOKUP(O37,Hraci!$A$1:$I$1500,9,0))</f>
        <v>31</v>
      </c>
      <c r="U37" s="455">
        <f t="shared" ca="1" si="10"/>
        <v>12086</v>
      </c>
      <c r="V37" s="456" t="str">
        <f ca="1">IF(N(U37)&gt;0,VLOOKUP(U37,Hraci!$A$1:$I$1500,2,0),IF(TYPE(INDIRECT(ADDRESS(ROW() + $A$9-7 + (ROW()-11)*4,2,1,1,"Internet")))&gt;1,INDIRECT(ADDRESS(ROW() + $A$9-7 + (ROW()-11)*4,2,1,1,"Internet"))," "))</f>
        <v>Froněk st.</v>
      </c>
      <c r="W37" s="457" t="str">
        <f ca="1">IF(N(U37)&gt;0,VLOOKUP(U37,Hraci!$A$1:$I$1500,3,0)," ")</f>
        <v>Jiří</v>
      </c>
      <c r="X37" s="457" t="str">
        <f ca="1">IF(N(U37)&gt;0,VLOOKUP(U37,Hraci!$A$1:$I$1500,5,0),IF(TYPE(INDIRECT(ADDRESS(ROW() + $A$9-7 + (ROW()-11)*4,3,1,1,"Internet")))&gt;1,INDIRECT(ADDRESS(ROW() + $A$9-7 + (ROW()-11)*4,3,1,1,"Internet"))," "))</f>
        <v>CdP Loděnice</v>
      </c>
      <c r="Y37" s="395">
        <f ca="1">IF(N(U37)=0,9999,VLOOKUP(U37,Hraci!$A$1:$I$1500,8,0))</f>
        <v>55</v>
      </c>
      <c r="Z37" s="458">
        <f ca="1">IF(N(U37)=0,0,VLOOKUP(U37,Hraci!$A$1:$I$1500,9,0))</f>
        <v>43.875</v>
      </c>
      <c r="AA37" s="455" t="str">
        <f t="shared" ca="1" si="11"/>
        <v/>
      </c>
      <c r="AB37" s="456" t="str">
        <f ca="1">IF(N(AA37)&gt;0,VLOOKUP(AA37,Hraci!$A$1:$I$1500,2,0)," ")</f>
        <v xml:space="preserve"> </v>
      </c>
      <c r="AC37" s="457" t="str">
        <f ca="1">IF(N(AA37)&gt;0,VLOOKUP(AA37,Hraci!$A$1:$I$1500,3,0)," ")</f>
        <v xml:space="preserve"> </v>
      </c>
      <c r="AD37" s="457" t="str">
        <f ca="1">IF(N(AA37)&gt;0,VLOOKUP(AA37,Hraci!$A$1:$I$1500,5,0)," ")</f>
        <v xml:space="preserve"> </v>
      </c>
      <c r="AE37" s="395">
        <f ca="1">IF(N(AA37)=0,9999,VLOOKUP(AA37,Hraci!$A$1:$I$1500,8,0))</f>
        <v>9999</v>
      </c>
      <c r="AF37" s="458">
        <f ca="1">IF(N(AA37)=0,0,VLOOKUP(AA37,Hraci!$A$1:$I$1500,9,0))</f>
        <v>0</v>
      </c>
      <c r="AG37" s="459"/>
      <c r="AH37" s="465">
        <f ca="1">IF(TYPE(VLOOKUP(H37,Nasazení!$A$3:$E$130,5,0))&lt;4,VLOOKUP(H37,Nasazení!$A$3:$E$130,5,0),0)</f>
        <v>32</v>
      </c>
      <c r="AI37" s="460">
        <f ca="1">IF(N($AH37)&gt;0,VLOOKUP($AH37,Body!$A$4:$F$259,5,0),"")</f>
        <v>38.074437500000002</v>
      </c>
      <c r="AJ37" s="461">
        <f ca="1">IF(N($AH37)&gt;0,VLOOKUP($AH37,Body!$A$4:$F$259,6,0),"")</f>
        <v>0</v>
      </c>
      <c r="AK37" s="460">
        <f ca="1">IF(N($AH37)&gt;0,VLOOKUP($AH37,Body!$A$4:$F$259,2,0),"")</f>
        <v>1</v>
      </c>
      <c r="AL37" s="462" t="str">
        <f t="shared" ca="1" si="12"/>
        <v>27 1. KPK Vrchlabí - Kapeš Roman</v>
      </c>
      <c r="AM37" s="463">
        <f t="shared" ca="1" si="13"/>
        <v>82.938999999999993</v>
      </c>
      <c r="AN37" s="395">
        <f ca="1">IF(OR(TYPE(I37)&gt;1,TYPE(MATCH(I37,I38:I$139,0))&gt;1),0,MATCH(I37,I38:I$139,0))+IF(OR(TYPE(I37)&gt;1,TYPE(MATCH(I37,O$11:O$139,0))&gt;1),0,MATCH(I37,O$11:O$139,0))+IF(OR(TYPE(I37)&gt;1,TYPE(MATCH(I37,U$11:U$139,0))&gt;1),0,MATCH(I37,U$11:U$139,0))+IF(OR(TYPE(I37)&gt;1,TYPE(MATCH(I37,AA$11:AA$139,0))&gt;1),0,MATCH(I37,AA$11:AA$139,0))</f>
        <v>0</v>
      </c>
      <c r="AO37" s="395">
        <f ca="1">IF(OR(TYPE(O37)&gt;1,TYPE(MATCH(O37,I$11:I$139,0))&gt;1),0,MATCH(O37,I$11:I$139,0))+IF(OR(TYPE(O37)&gt;1,TYPE(MATCH(O37,O38:O$139,0))&gt;1),0,MATCH(O37,O38:O$139,0))+IF(OR(TYPE(O37)&gt;1,TYPE(MATCH(O37,U$11:U$139,0))&gt;1),0,MATCH(O37,U$11:U$139,0))+IF(OR(TYPE(O37)&gt;1,TYPE(MATCH(O37,AA$11:AA$139,0))&gt;1),0,MATCH(O37,AA$11:AA$139,0))</f>
        <v>0</v>
      </c>
      <c r="AP37" s="395">
        <f ca="1">IF(OR(TYPE(U37)&gt;1,TYPE(MATCH(U37,I$11:I$139,0))&gt;1),0,MATCH(U37,I$11:I$139,0))+IF(OR(TYPE(U37)&gt;1,TYPE(MATCH(U37,O$11:O$139,0))&gt;1),0,MATCH(U37,O$11:O$139,0))+IF(OR(TYPE(U37)&gt;1,TYPE(MATCH(U37,U38:U$139,0))&gt;1),0,MATCH(U37,U38:U$139,0))+IF(OR(TYPE(U37)&gt;1,TYPE(MATCH(U37,AA$11:AA$139,0))&gt;1),0,MATCH(U37,AA$11:AA$139,0))</f>
        <v>0</v>
      </c>
      <c r="AQ37" s="395">
        <f ca="1">IF(OR(TYPE(AA37)&gt;1,TYPE(MATCH(AA37,I$11:I$139,0))&gt;1),0,MATCH(AA37,I$11:I$139,0))+IF(OR(TYPE(AA37)&gt;1,TYPE(MATCH(AA37,O$11:O$139,0))&gt;1),0,MATCH(AA37,O$11:O$139,0))+IF(OR(TYPE(AA37)&gt;1,TYPE(MATCH(AA37,U$11:U$139,0))&gt;1),0,MATCH(U37,U$11:U$139,0))+IF(OR(TYPE(AA37)&gt;1,TYPE(MATCH(AA37,AA38:AA$139,0))&gt;1),0,MATCH(AA37,AA38:AA$139,0))</f>
        <v>0</v>
      </c>
      <c r="AR37" s="395">
        <f t="shared" ca="1" si="14"/>
        <v>0</v>
      </c>
      <c r="BF37" s="395">
        <f t="shared" si="15"/>
        <v>27</v>
      </c>
    </row>
    <row r="38" spans="1:58" ht="12.9">
      <c r="A38" s="387">
        <f t="shared" ca="1" si="0"/>
        <v>3</v>
      </c>
      <c r="B38" s="387">
        <f t="shared" ca="1" si="1"/>
        <v>1</v>
      </c>
      <c r="C38" s="387">
        <f t="shared" ca="1" si="2"/>
        <v>82.44</v>
      </c>
      <c r="D38" s="387">
        <f t="shared" ca="1" si="3"/>
        <v>283</v>
      </c>
      <c r="E38" s="387">
        <f t="shared" ca="1" si="4"/>
        <v>69</v>
      </c>
      <c r="F38" s="417" t="str">
        <f t="shared" ca="1" si="5"/>
        <v>91082440999716999930018516</v>
      </c>
      <c r="G38" s="453" t="b">
        <f t="shared" ca="1" si="6"/>
        <v>0</v>
      </c>
      <c r="H38" s="454">
        <f t="shared" si="7"/>
        <v>28</v>
      </c>
      <c r="I38" s="455">
        <f t="shared" ca="1" si="8"/>
        <v>16029</v>
      </c>
      <c r="J38" s="456" t="str">
        <f ca="1">IF(N(I38)&gt;0,VLOOKUP(I38,Hraci!$A$1:$I$1500,2,0),IF(TYPE(INDIRECT(ADDRESS(ROW() + $A$9-9 + (ROW()-11)*4,2,1,1,"Internet")))&gt;1,INDIRECT(ADDRESS(ROW() + $A$9-9 + (ROW()-11)*4,2,1,1,"Internet"))," "))</f>
        <v>Kašparová</v>
      </c>
      <c r="K38" s="457" t="str">
        <f ca="1">IF(N(I38)&gt;0,VLOOKUP(I38,Hraci!$A$1:$I$1500,3,0)," ")</f>
        <v>Barbora</v>
      </c>
      <c r="L38" s="457" t="str">
        <f ca="1">IF(N(I38)&gt;0,VLOOKUP(I38,Hraci!$A$1:$I$1500,5,0),IF(TYPE(INDIRECT(ADDRESS(ROW() + $A$9-9 + (ROW()-11)*4,3,1,1,"Internet")))&gt;1,INDIRECT(ADDRESS(ROW() + $A$9-9 + (ROW()-11)*4,3,1,1,"Internet"))," "))</f>
        <v>Petank Club Praha</v>
      </c>
      <c r="M38" s="395">
        <f ca="1">IF(N(I38)=0,9999,VLOOKUP(I38,Hraci!$A$1:$I$1500,8,0))</f>
        <v>72</v>
      </c>
      <c r="N38" s="458">
        <f ca="1">IF(N(I38)=0,0,VLOOKUP(I38,Hraci!$A$1:$I$1500,9,0))</f>
        <v>31</v>
      </c>
      <c r="O38" s="455">
        <f t="shared" ca="1" si="9"/>
        <v>14076</v>
      </c>
      <c r="P38" s="456" t="str">
        <f ca="1">IF(N(O38)&gt;0,VLOOKUP(O38,Hraci!$A$1:$I$1500,2,0),IF(TYPE(INDIRECT(ADDRESS(ROW() + $A$9-8 + (ROW()-11)*4,2,1,1,"Internet")))&gt;1,INDIRECT(ADDRESS(ROW() + $A$9-8 + (ROW()-11)*4,2,1,1,"Internet"))," "))</f>
        <v>Klír</v>
      </c>
      <c r="Q38" s="457" t="str">
        <f ca="1">IF(N(O38)&gt;0,VLOOKUP(O38,Hraci!$A$1:$I$1500,3,0)," ")</f>
        <v>Tomáš</v>
      </c>
      <c r="R38" s="457" t="str">
        <f ca="1">IF(N(O38)&gt;0,VLOOKUP(O38,Hraci!$A$1:$I$1500,5,0),IF(TYPE(INDIRECT(ADDRESS(ROW() + $A$9-8 + (ROW()-11)*4,3,1,1,"Internet")))&gt;1,INDIRECT(ADDRESS(ROW() + $A$9-8 + (ROW()-11)*4,3,1,1,"Internet"))," "))</f>
        <v>Petank Club Praha</v>
      </c>
      <c r="S38" s="395">
        <f ca="1">IF(N(O38)=0,9999,VLOOKUP(O38,Hraci!$A$1:$I$1500,8,0))</f>
        <v>142</v>
      </c>
      <c r="T38" s="458">
        <f ca="1">IF(N(O38)=0,0,VLOOKUP(O38,Hraci!$A$1:$I$1500,9,0))</f>
        <v>18.690000000000001</v>
      </c>
      <c r="U38" s="455">
        <f t="shared" ca="1" si="10"/>
        <v>14099</v>
      </c>
      <c r="V38" s="456" t="str">
        <f ca="1">IF(N(U38)&gt;0,VLOOKUP(U38,Hraci!$A$1:$I$1500,2,0),IF(TYPE(INDIRECT(ADDRESS(ROW() + $A$9-7 + (ROW()-11)*4,2,1,1,"Internet")))&gt;1,INDIRECT(ADDRESS(ROW() + $A$9-7 + (ROW()-11)*4,2,1,1,"Internet"))," "))</f>
        <v>Klouda</v>
      </c>
      <c r="W38" s="457" t="str">
        <f ca="1">IF(N(U38)&gt;0,VLOOKUP(U38,Hraci!$A$1:$I$1500,3,0)," ")</f>
        <v>Aleš</v>
      </c>
      <c r="X38" s="457" t="str">
        <f ca="1">IF(N(U38)&gt;0,VLOOKUP(U38,Hraci!$A$1:$I$1500,5,0),IF(TYPE(INDIRECT(ADDRESS(ROW() + $A$9-7 + (ROW()-11)*4,3,1,1,"Internet")))&gt;1,INDIRECT(ADDRESS(ROW() + $A$9-7 + (ROW()-11)*4,3,1,1,"Internet"))," "))</f>
        <v>Petank Club Praha</v>
      </c>
      <c r="Y38" s="395">
        <f ca="1">IF(N(U38)=0,9999,VLOOKUP(U38,Hraci!$A$1:$I$1500,8,0))</f>
        <v>69</v>
      </c>
      <c r="Z38" s="458">
        <f ca="1">IF(N(U38)=0,0,VLOOKUP(U38,Hraci!$A$1:$I$1500,9,0))</f>
        <v>32.75</v>
      </c>
      <c r="AA38" s="455" t="str">
        <f t="shared" ca="1" si="11"/>
        <v/>
      </c>
      <c r="AB38" s="456" t="str">
        <f ca="1">IF(N(AA38)&gt;0,VLOOKUP(AA38,Hraci!$A$1:$I$1500,2,0)," ")</f>
        <v xml:space="preserve"> </v>
      </c>
      <c r="AC38" s="457" t="str">
        <f ca="1">IF(N(AA38)&gt;0,VLOOKUP(AA38,Hraci!$A$1:$I$1500,3,0)," ")</f>
        <v xml:space="preserve"> </v>
      </c>
      <c r="AD38" s="457" t="str">
        <f ca="1">IF(N(AA38)&gt;0,VLOOKUP(AA38,Hraci!$A$1:$I$1500,5,0)," ")</f>
        <v xml:space="preserve"> </v>
      </c>
      <c r="AE38" s="395">
        <f ca="1">IF(N(AA38)=0,9999,VLOOKUP(AA38,Hraci!$A$1:$I$1500,8,0))</f>
        <v>9999</v>
      </c>
      <c r="AF38" s="458">
        <f ca="1">IF(N(AA38)=0,0,VLOOKUP(AA38,Hraci!$A$1:$I$1500,9,0))</f>
        <v>0</v>
      </c>
      <c r="AG38" s="459"/>
      <c r="AH38" s="465">
        <v>48</v>
      </c>
      <c r="AI38" s="460">
        <f ca="1">IF(N($AH38)&gt;0,VLOOKUP($AH38,Body!$A$4:$F$259,5,0),"")</f>
        <v>19.037218750000001</v>
      </c>
      <c r="AJ38" s="461">
        <f ca="1">IF(N($AH38)&gt;0,VLOOKUP($AH38,Body!$A$4:$F$259,6,0),"")</f>
        <v>0</v>
      </c>
      <c r="AK38" s="460">
        <f ca="1">IF(N($AH38)&gt;0,VLOOKUP($AH38,Body!$A$4:$F$259,2,0),"")</f>
        <v>0.5</v>
      </c>
      <c r="AL38" s="462" t="str">
        <f t="shared" ca="1" si="12"/>
        <v>28 Petank Club Praha - Kašparová Barbora</v>
      </c>
      <c r="AM38" s="463">
        <f t="shared" ca="1" si="13"/>
        <v>82.44</v>
      </c>
      <c r="AN38" s="395">
        <f ca="1">IF(OR(TYPE(I38)&gt;1,TYPE(MATCH(I38,I39:I$139,0))&gt;1),0,MATCH(I38,I39:I$139,0))+IF(OR(TYPE(I38)&gt;1,TYPE(MATCH(I38,O$11:O$139,0))&gt;1),0,MATCH(I38,O$11:O$139,0))+IF(OR(TYPE(I38)&gt;1,TYPE(MATCH(I38,U$11:U$139,0))&gt;1),0,MATCH(I38,U$11:U$139,0))+IF(OR(TYPE(I38)&gt;1,TYPE(MATCH(I38,AA$11:AA$139,0))&gt;1),0,MATCH(I38,AA$11:AA$139,0))</f>
        <v>0</v>
      </c>
      <c r="AO38" s="395">
        <f ca="1">IF(OR(TYPE(O38)&gt;1,TYPE(MATCH(O38,I$11:I$139,0))&gt;1),0,MATCH(O38,I$11:I$139,0))+IF(OR(TYPE(O38)&gt;1,TYPE(MATCH(O38,O39:O$139,0))&gt;1),0,MATCH(O38,O39:O$139,0))+IF(OR(TYPE(O38)&gt;1,TYPE(MATCH(O38,U$11:U$139,0))&gt;1),0,MATCH(O38,U$11:U$139,0))+IF(OR(TYPE(O38)&gt;1,TYPE(MATCH(O38,AA$11:AA$139,0))&gt;1),0,MATCH(O38,AA$11:AA$139,0))</f>
        <v>0</v>
      </c>
      <c r="AP38" s="395">
        <f ca="1">IF(OR(TYPE(U38)&gt;1,TYPE(MATCH(U38,I$11:I$139,0))&gt;1),0,MATCH(U38,I$11:I$139,0))+IF(OR(TYPE(U38)&gt;1,TYPE(MATCH(U38,O$11:O$139,0))&gt;1),0,MATCH(U38,O$11:O$139,0))+IF(OR(TYPE(U38)&gt;1,TYPE(MATCH(U38,U39:U$139,0))&gt;1),0,MATCH(U38,U39:U$139,0))+IF(OR(TYPE(U38)&gt;1,TYPE(MATCH(U38,AA$11:AA$139,0))&gt;1),0,MATCH(U38,AA$11:AA$139,0))</f>
        <v>0</v>
      </c>
      <c r="AQ38" s="395">
        <f ca="1">IF(OR(TYPE(AA38)&gt;1,TYPE(MATCH(AA38,I$11:I$139,0))&gt;1),0,MATCH(AA38,I$11:I$139,0))+IF(OR(TYPE(AA38)&gt;1,TYPE(MATCH(AA38,O$11:O$139,0))&gt;1),0,MATCH(AA38,O$11:O$139,0))+IF(OR(TYPE(AA38)&gt;1,TYPE(MATCH(AA38,U$11:U$139,0))&gt;1),0,MATCH(U38,U$11:U$139,0))+IF(OR(TYPE(AA38)&gt;1,TYPE(MATCH(AA38,AA39:AA$139,0))&gt;1),0,MATCH(AA38,AA39:AA$139,0))</f>
        <v>0</v>
      </c>
      <c r="AR38" s="395">
        <f t="shared" ca="1" si="14"/>
        <v>0</v>
      </c>
      <c r="BF38" s="395">
        <f t="shared" si="15"/>
        <v>28</v>
      </c>
    </row>
    <row r="39" spans="1:58" ht="12.9">
      <c r="A39" s="387">
        <f t="shared" ca="1" si="0"/>
        <v>3</v>
      </c>
      <c r="B39" s="387">
        <f t="shared" ca="1" si="1"/>
        <v>1</v>
      </c>
      <c r="C39" s="387">
        <f t="shared" ca="1" si="2"/>
        <v>82.438000000000002</v>
      </c>
      <c r="D39" s="387">
        <f t="shared" ca="1" si="3"/>
        <v>418</v>
      </c>
      <c r="E39" s="387">
        <f t="shared" ca="1" si="4"/>
        <v>5</v>
      </c>
      <c r="F39" s="417" t="str">
        <f t="shared" ca="1" si="5"/>
        <v>91082438999581999994650170</v>
      </c>
      <c r="G39" s="453" t="b">
        <f t="shared" ca="1" si="6"/>
        <v>0</v>
      </c>
      <c r="H39" s="454">
        <f t="shared" si="7"/>
        <v>29</v>
      </c>
      <c r="I39" s="455">
        <f t="shared" ca="1" si="8"/>
        <v>28006</v>
      </c>
      <c r="J39" s="456" t="str">
        <f ca="1">IF(N(I39)&gt;0,VLOOKUP(I39,Hraci!$A$1:$I$1500,2,0),IF(TYPE(INDIRECT(ADDRESS(ROW() + $A$9-9 + (ROW()-11)*4,2,1,1,"Internet")))&gt;1,INDIRECT(ADDRESS(ROW() + $A$9-9 + (ROW()-11)*4,2,1,1,"Internet"))," "))</f>
        <v>Grepl</v>
      </c>
      <c r="K39" s="457" t="str">
        <f ca="1">IF(N(I39)&gt;0,VLOOKUP(I39,Hraci!$A$1:$I$1500,3,0)," ")</f>
        <v>Jiří</v>
      </c>
      <c r="L39" s="457" t="str">
        <f ca="1">IF(N(I39)&gt;0,VLOOKUP(I39,Hraci!$A$1:$I$1500,5,0),IF(TYPE(INDIRECT(ADDRESS(ROW() + $A$9-9 + (ROW()-11)*4,3,1,1,"Internet")))&gt;1,INDIRECT(ADDRESS(ROW() + $A$9-9 + (ROW()-11)*4,3,1,1,"Internet"))," "))</f>
        <v>Carreau Brno</v>
      </c>
      <c r="M39" s="395">
        <f ca="1">IF(N(I39)=0,9999,VLOOKUP(I39,Hraci!$A$1:$I$1500,8,0))</f>
        <v>5</v>
      </c>
      <c r="N39" s="458">
        <f ca="1">IF(N(I39)=0,0,VLOOKUP(I39,Hraci!$A$1:$I$1500,9,0))</f>
        <v>39.125</v>
      </c>
      <c r="O39" s="455">
        <f t="shared" ca="1" si="9"/>
        <v>18060</v>
      </c>
      <c r="P39" s="456" t="str">
        <f ca="1">IF(N(O39)&gt;0,VLOOKUP(O39,Hraci!$A$1:$I$1500,2,0),IF(TYPE(INDIRECT(ADDRESS(ROW() + $A$9-8 + (ROW()-11)*4,2,1,1,"Internet")))&gt;1,INDIRECT(ADDRESS(ROW() + $A$9-8 + (ROW()-11)*4,2,1,1,"Internet"))," "))</f>
        <v>Kvítek</v>
      </c>
      <c r="Q39" s="457" t="str">
        <f ca="1">IF(N(O39)&gt;0,VLOOKUP(O39,Hraci!$A$1:$I$1500,3,0)," ")</f>
        <v>Franjo</v>
      </c>
      <c r="R39" s="457" t="str">
        <f ca="1">IF(N(O39)&gt;0,VLOOKUP(O39,Hraci!$A$1:$I$1500,5,0),IF(TYPE(INDIRECT(ADDRESS(ROW() + $A$9-8 + (ROW()-11)*4,3,1,1,"Internet")))&gt;1,INDIRECT(ADDRESS(ROW() + $A$9-8 + (ROW()-11)*4,3,1,1,"Internet"))," "))</f>
        <v>Orel Řečkovice</v>
      </c>
      <c r="S39" s="395">
        <f ca="1">IF(N(O39)=0,9999,VLOOKUP(O39,Hraci!$A$1:$I$1500,8,0))</f>
        <v>351</v>
      </c>
      <c r="T39" s="458">
        <f ca="1">IF(N(O39)=0,0,VLOOKUP(O39,Hraci!$A$1:$I$1500,9,0))</f>
        <v>9.625</v>
      </c>
      <c r="U39" s="455">
        <f t="shared" ca="1" si="10"/>
        <v>15008</v>
      </c>
      <c r="V39" s="456" t="str">
        <f ca="1">IF(N(U39)&gt;0,VLOOKUP(U39,Hraci!$A$1:$I$1500,2,0),IF(TYPE(INDIRECT(ADDRESS(ROW() + $A$9-7 + (ROW()-11)*4,2,1,1,"Internet")))&gt;1,INDIRECT(ADDRESS(ROW() + $A$9-7 + (ROW()-11)*4,2,1,1,"Internet"))," "))</f>
        <v>Skopal</v>
      </c>
      <c r="W39" s="457" t="str">
        <f ca="1">IF(N(U39)&gt;0,VLOOKUP(U39,Hraci!$A$1:$I$1500,3,0)," ")</f>
        <v>Radek</v>
      </c>
      <c r="X39" s="457" t="str">
        <f ca="1">IF(N(U39)&gt;0,VLOOKUP(U39,Hraci!$A$1:$I$1500,5,0),IF(TYPE(INDIRECT(ADDRESS(ROW() + $A$9-7 + (ROW()-11)*4,3,1,1,"Internet")))&gt;1,INDIRECT(ADDRESS(ROW() + $A$9-7 + (ROW()-11)*4,3,1,1,"Internet"))," "))</f>
        <v>Kulový blesk Olomouc</v>
      </c>
      <c r="Y39" s="395">
        <f ca="1">IF(N(U39)=0,9999,VLOOKUP(U39,Hraci!$A$1:$I$1500,8,0))</f>
        <v>62</v>
      </c>
      <c r="Z39" s="458">
        <f ca="1">IF(N(U39)=0,0,VLOOKUP(U39,Hraci!$A$1:$I$1500,9,0))</f>
        <v>33.688000000000002</v>
      </c>
      <c r="AA39" s="455" t="str">
        <f t="shared" ca="1" si="11"/>
        <v/>
      </c>
      <c r="AB39" s="456" t="str">
        <f ca="1">IF(N(AA39)&gt;0,VLOOKUP(AA39,Hraci!$A$1:$I$1500,2,0)," ")</f>
        <v xml:space="preserve"> </v>
      </c>
      <c r="AC39" s="457" t="str">
        <f ca="1">IF(N(AA39)&gt;0,VLOOKUP(AA39,Hraci!$A$1:$I$1500,3,0)," ")</f>
        <v xml:space="preserve"> </v>
      </c>
      <c r="AD39" s="457" t="str">
        <f ca="1">IF(N(AA39)&gt;0,VLOOKUP(AA39,Hraci!$A$1:$I$1500,5,0)," ")</f>
        <v xml:space="preserve"> </v>
      </c>
      <c r="AE39" s="395">
        <f ca="1">IF(N(AA39)=0,9999,VLOOKUP(AA39,Hraci!$A$1:$I$1500,8,0))</f>
        <v>9999</v>
      </c>
      <c r="AF39" s="458">
        <f ca="1">IF(N(AA39)=0,0,VLOOKUP(AA39,Hraci!$A$1:$I$1500,9,0))</f>
        <v>0</v>
      </c>
      <c r="AG39" s="459"/>
      <c r="AH39" s="465">
        <f ca="1">IF(TYPE(VLOOKUP(H39,Nasazení!$A$3:$E$130,5,0))&lt;4,VLOOKUP(H39,Nasazení!$A$3:$E$130,5,0),0)</f>
        <v>2</v>
      </c>
      <c r="AI39" s="460">
        <f ca="1">IF(N($AH39)&gt;0,VLOOKUP($AH39,Body!$A$4:$F$259,5,0),"")</f>
        <v>190.3721875</v>
      </c>
      <c r="AJ39" s="461">
        <f ca="1">IF(N($AH39)&gt;0,VLOOKUP($AH39,Body!$A$4:$F$259,6,0),"")</f>
        <v>0</v>
      </c>
      <c r="AK39" s="460">
        <f ca="1">IF(N($AH39)&gt;0,VLOOKUP($AH39,Body!$A$4:$F$259,2,0),"")</f>
        <v>5</v>
      </c>
      <c r="AL39" s="462" t="str">
        <f t="shared" ca="1" si="12"/>
        <v>29 Carreau Brno - Grepl Jiří</v>
      </c>
      <c r="AM39" s="463">
        <f t="shared" ca="1" si="13"/>
        <v>82.438000000000002</v>
      </c>
      <c r="AN39" s="395">
        <f ca="1">IF(OR(TYPE(I39)&gt;1,TYPE(MATCH(I39,I40:I$139,0))&gt;1),0,MATCH(I39,I40:I$139,0))+IF(OR(TYPE(I39)&gt;1,TYPE(MATCH(I39,O$11:O$139,0))&gt;1),0,MATCH(I39,O$11:O$139,0))+IF(OR(TYPE(I39)&gt;1,TYPE(MATCH(I39,U$11:U$139,0))&gt;1),0,MATCH(I39,U$11:U$139,0))+IF(OR(TYPE(I39)&gt;1,TYPE(MATCH(I39,AA$11:AA$139,0))&gt;1),0,MATCH(I39,AA$11:AA$139,0))</f>
        <v>0</v>
      </c>
      <c r="AO39" s="395">
        <f ca="1">IF(OR(TYPE(O39)&gt;1,TYPE(MATCH(O39,I$11:I$139,0))&gt;1),0,MATCH(O39,I$11:I$139,0))+IF(OR(TYPE(O39)&gt;1,TYPE(MATCH(O39,O40:O$139,0))&gt;1),0,MATCH(O39,O40:O$139,0))+IF(OR(TYPE(O39)&gt;1,TYPE(MATCH(O39,U$11:U$139,0))&gt;1),0,MATCH(O39,U$11:U$139,0))+IF(OR(TYPE(O39)&gt;1,TYPE(MATCH(O39,AA$11:AA$139,0))&gt;1),0,MATCH(O39,AA$11:AA$139,0))</f>
        <v>0</v>
      </c>
      <c r="AP39" s="395">
        <f ca="1">IF(OR(TYPE(U39)&gt;1,TYPE(MATCH(U39,I$11:I$139,0))&gt;1),0,MATCH(U39,I$11:I$139,0))+IF(OR(TYPE(U39)&gt;1,TYPE(MATCH(U39,O$11:O$139,0))&gt;1),0,MATCH(U39,O$11:O$139,0))+IF(OR(TYPE(U39)&gt;1,TYPE(MATCH(U39,U40:U$139,0))&gt;1),0,MATCH(U39,U40:U$139,0))+IF(OR(TYPE(U39)&gt;1,TYPE(MATCH(U39,AA$11:AA$139,0))&gt;1),0,MATCH(U39,AA$11:AA$139,0))</f>
        <v>0</v>
      </c>
      <c r="AQ39" s="395">
        <f ca="1">IF(OR(TYPE(AA39)&gt;1,TYPE(MATCH(AA39,I$11:I$139,0))&gt;1),0,MATCH(AA39,I$11:I$139,0))+IF(OR(TYPE(AA39)&gt;1,TYPE(MATCH(AA39,O$11:O$139,0))&gt;1),0,MATCH(AA39,O$11:O$139,0))+IF(OR(TYPE(AA39)&gt;1,TYPE(MATCH(AA39,U$11:U$139,0))&gt;1),0,MATCH(U39,U$11:U$139,0))+IF(OR(TYPE(AA39)&gt;1,TYPE(MATCH(AA39,AA40:AA$139,0))&gt;1),0,MATCH(AA39,AA40:AA$139,0))</f>
        <v>0</v>
      </c>
      <c r="AR39" s="395">
        <f t="shared" ca="1" si="14"/>
        <v>0</v>
      </c>
      <c r="BF39" s="395">
        <f t="shared" si="15"/>
        <v>29</v>
      </c>
    </row>
    <row r="40" spans="1:58" ht="12.9">
      <c r="A40" s="387">
        <f t="shared" ca="1" si="0"/>
        <v>3</v>
      </c>
      <c r="B40" s="387">
        <f t="shared" ca="1" si="1"/>
        <v>1</v>
      </c>
      <c r="C40" s="387">
        <f t="shared" ca="1" si="2"/>
        <v>81.626999999999995</v>
      </c>
      <c r="D40" s="387">
        <f t="shared" ca="1" si="3"/>
        <v>155</v>
      </c>
      <c r="E40" s="387">
        <f t="shared" ca="1" si="4"/>
        <v>35</v>
      </c>
      <c r="F40" s="417" t="str">
        <f t="shared" ca="1" si="5"/>
        <v>91081627999844999964909719</v>
      </c>
      <c r="G40" s="453" t="b">
        <f t="shared" ca="1" si="6"/>
        <v>0</v>
      </c>
      <c r="H40" s="454">
        <f t="shared" si="7"/>
        <v>30</v>
      </c>
      <c r="I40" s="455">
        <f t="shared" ca="1" si="8"/>
        <v>12038</v>
      </c>
      <c r="J40" s="456" t="str">
        <f ca="1">IF(N(I40)&gt;0,VLOOKUP(I40,Hraci!$A$1:$I$1500,2,0),IF(TYPE(INDIRECT(ADDRESS(ROW() + $A$9-9 + (ROW()-11)*4,2,1,1,"Internet")))&gt;1,INDIRECT(ADDRESS(ROW() + $A$9-9 + (ROW()-11)*4,2,1,1,"Internet"))," "))</f>
        <v>Krejčín</v>
      </c>
      <c r="K40" s="457" t="str">
        <f ca="1">IF(N(I40)&gt;0,VLOOKUP(I40,Hraci!$A$1:$I$1500,3,0)," ")</f>
        <v>Leoš</v>
      </c>
      <c r="L40" s="457" t="str">
        <f ca="1">IF(N(I40)&gt;0,VLOOKUP(I40,Hraci!$A$1:$I$1500,5,0),IF(TYPE(INDIRECT(ADDRESS(ROW() + $A$9-9 + (ROW()-11)*4,3,1,1,"Internet")))&gt;1,INDIRECT(ADDRESS(ROW() + $A$9-9 + (ROW()-11)*4,3,1,1,"Internet"))," "))</f>
        <v>SKP Kulová osma</v>
      </c>
      <c r="M40" s="395">
        <f ca="1">IF(N(I40)=0,9999,VLOOKUP(I40,Hraci!$A$1:$I$1500,8,0))</f>
        <v>37</v>
      </c>
      <c r="N40" s="458">
        <f ca="1">IF(N(I40)=0,0,VLOOKUP(I40,Hraci!$A$1:$I$1500,9,0))</f>
        <v>26.187999999999999</v>
      </c>
      <c r="O40" s="455">
        <f t="shared" ca="1" si="9"/>
        <v>15023</v>
      </c>
      <c r="P40" s="456" t="str">
        <f ca="1">IF(N(O40)&gt;0,VLOOKUP(O40,Hraci!$A$1:$I$1500,2,0),IF(TYPE(INDIRECT(ADDRESS(ROW() + $A$9-8 + (ROW()-11)*4,2,1,1,"Internet")))&gt;1,INDIRECT(ADDRESS(ROW() + $A$9-8 + (ROW()-11)*4,2,1,1,"Internet"))," "))</f>
        <v>Přibyl</v>
      </c>
      <c r="Q40" s="457" t="str">
        <f ca="1">IF(N(O40)&gt;0,VLOOKUP(O40,Hraci!$A$1:$I$1500,3,0)," ")</f>
        <v>Miloš</v>
      </c>
      <c r="R40" s="457" t="str">
        <f ca="1">IF(N(O40)&gt;0,VLOOKUP(O40,Hraci!$A$1:$I$1500,5,0),IF(TYPE(INDIRECT(ADDRESS(ROW() + $A$9-8 + (ROW()-11)*4,3,1,1,"Internet")))&gt;1,INDIRECT(ADDRESS(ROW() + $A$9-8 + (ROW()-11)*4,3,1,1,"Internet"))," "))</f>
        <v>SK Sahara Vědomice</v>
      </c>
      <c r="S40" s="395">
        <f ca="1">IF(N(O40)=0,9999,VLOOKUP(O40,Hraci!$A$1:$I$1500,8,0))</f>
        <v>83</v>
      </c>
      <c r="T40" s="458">
        <f ca="1">IF(N(O40)=0,0,VLOOKUP(O40,Hraci!$A$1:$I$1500,9,0))</f>
        <v>25.376000000000001</v>
      </c>
      <c r="U40" s="455">
        <f t="shared" ca="1" si="10"/>
        <v>12037</v>
      </c>
      <c r="V40" s="456" t="str">
        <f ca="1">IF(N(U40)&gt;0,VLOOKUP(U40,Hraci!$A$1:$I$1500,2,0),IF(TYPE(INDIRECT(ADDRESS(ROW() + $A$9-7 + (ROW()-11)*4,2,1,1,"Internet")))&gt;1,INDIRECT(ADDRESS(ROW() + $A$9-7 + (ROW()-11)*4,2,1,1,"Internet"))," "))</f>
        <v>Krejčínová</v>
      </c>
      <c r="W40" s="457" t="str">
        <f ca="1">IF(N(U40)&gt;0,VLOOKUP(U40,Hraci!$A$1:$I$1500,3,0)," ")</f>
        <v>Milena</v>
      </c>
      <c r="X40" s="457" t="str">
        <f ca="1">IF(N(U40)&gt;0,VLOOKUP(U40,Hraci!$A$1:$I$1500,5,0),IF(TYPE(INDIRECT(ADDRESS(ROW() + $A$9-7 + (ROW()-11)*4,3,1,1,"Internet")))&gt;1,INDIRECT(ADDRESS(ROW() + $A$9-7 + (ROW()-11)*4,3,1,1,"Internet"))," "))</f>
        <v>SKP Kulová osma</v>
      </c>
      <c r="Y40" s="395">
        <f ca="1">IF(N(U40)=0,9999,VLOOKUP(U40,Hraci!$A$1:$I$1500,8,0))</f>
        <v>35</v>
      </c>
      <c r="Z40" s="458">
        <f ca="1">IF(N(U40)=0,0,VLOOKUP(U40,Hraci!$A$1:$I$1500,9,0))</f>
        <v>30.062999999999999</v>
      </c>
      <c r="AA40" s="455" t="str">
        <f t="shared" ca="1" si="11"/>
        <v/>
      </c>
      <c r="AB40" s="456" t="str">
        <f ca="1">IF(N(AA40)&gt;0,VLOOKUP(AA40,Hraci!$A$1:$I$1500,2,0)," ")</f>
        <v xml:space="preserve"> </v>
      </c>
      <c r="AC40" s="457" t="str">
        <f ca="1">IF(N(AA40)&gt;0,VLOOKUP(AA40,Hraci!$A$1:$I$1500,3,0)," ")</f>
        <v xml:space="preserve"> </v>
      </c>
      <c r="AD40" s="457" t="str">
        <f ca="1">IF(N(AA40)&gt;0,VLOOKUP(AA40,Hraci!$A$1:$I$1500,5,0)," ")</f>
        <v xml:space="preserve"> </v>
      </c>
      <c r="AE40" s="395">
        <f ca="1">IF(N(AA40)=0,9999,VLOOKUP(AA40,Hraci!$A$1:$I$1500,8,0))</f>
        <v>9999</v>
      </c>
      <c r="AF40" s="458">
        <f ca="1">IF(N(AA40)=0,0,VLOOKUP(AA40,Hraci!$A$1:$I$1500,9,0))</f>
        <v>0</v>
      </c>
      <c r="AG40" s="459"/>
      <c r="AH40" s="465">
        <v>48</v>
      </c>
      <c r="AI40" s="460">
        <f ca="1">IF(N($AH40)&gt;0,VLOOKUP($AH40,Body!$A$4:$F$259,5,0),"")</f>
        <v>19.037218750000001</v>
      </c>
      <c r="AJ40" s="461">
        <f ca="1">IF(N($AH40)&gt;0,VLOOKUP($AH40,Body!$A$4:$F$259,6,0),"")</f>
        <v>0</v>
      </c>
      <c r="AK40" s="460">
        <f ca="1">IF(N($AH40)&gt;0,VLOOKUP($AH40,Body!$A$4:$F$259,2,0),"")</f>
        <v>0.5</v>
      </c>
      <c r="AL40" s="462" t="str">
        <f t="shared" ca="1" si="12"/>
        <v>30 SKP Kulová osma - Krejčín Leoš</v>
      </c>
      <c r="AM40" s="463">
        <f t="shared" ca="1" si="13"/>
        <v>81.626999999999995</v>
      </c>
      <c r="AN40" s="395">
        <f ca="1">IF(OR(TYPE(I40)&gt;1,TYPE(MATCH(I40,I41:I$139,0))&gt;1),0,MATCH(I40,I41:I$139,0))+IF(OR(TYPE(I40)&gt;1,TYPE(MATCH(I40,O$11:O$139,0))&gt;1),0,MATCH(I40,O$11:O$139,0))+IF(OR(TYPE(I40)&gt;1,TYPE(MATCH(I40,U$11:U$139,0))&gt;1),0,MATCH(I40,U$11:U$139,0))+IF(OR(TYPE(I40)&gt;1,TYPE(MATCH(I40,AA$11:AA$139,0))&gt;1),0,MATCH(I40,AA$11:AA$139,0))</f>
        <v>0</v>
      </c>
      <c r="AO40" s="395">
        <f ca="1">IF(OR(TYPE(O40)&gt;1,TYPE(MATCH(O40,I$11:I$139,0))&gt;1),0,MATCH(O40,I$11:I$139,0))+IF(OR(TYPE(O40)&gt;1,TYPE(MATCH(O40,O41:O$139,0))&gt;1),0,MATCH(O40,O41:O$139,0))+IF(OR(TYPE(O40)&gt;1,TYPE(MATCH(O40,U$11:U$139,0))&gt;1),0,MATCH(O40,U$11:U$139,0))+IF(OR(TYPE(O40)&gt;1,TYPE(MATCH(O40,AA$11:AA$139,0))&gt;1),0,MATCH(O40,AA$11:AA$139,0))</f>
        <v>0</v>
      </c>
      <c r="AP40" s="395">
        <f ca="1">IF(OR(TYPE(U40)&gt;1,TYPE(MATCH(U40,I$11:I$139,0))&gt;1),0,MATCH(U40,I$11:I$139,0))+IF(OR(TYPE(U40)&gt;1,TYPE(MATCH(U40,O$11:O$139,0))&gt;1),0,MATCH(U40,O$11:O$139,0))+IF(OR(TYPE(U40)&gt;1,TYPE(MATCH(U40,U41:U$139,0))&gt;1),0,MATCH(U40,U41:U$139,0))+IF(OR(TYPE(U40)&gt;1,TYPE(MATCH(U40,AA$11:AA$139,0))&gt;1),0,MATCH(U40,AA$11:AA$139,0))</f>
        <v>0</v>
      </c>
      <c r="AQ40" s="395">
        <f ca="1">IF(OR(TYPE(AA40)&gt;1,TYPE(MATCH(AA40,I$11:I$139,0))&gt;1),0,MATCH(AA40,I$11:I$139,0))+IF(OR(TYPE(AA40)&gt;1,TYPE(MATCH(AA40,O$11:O$139,0))&gt;1),0,MATCH(AA40,O$11:O$139,0))+IF(OR(TYPE(AA40)&gt;1,TYPE(MATCH(AA40,U$11:U$139,0))&gt;1),0,MATCH(U40,U$11:U$139,0))+IF(OR(TYPE(AA40)&gt;1,TYPE(MATCH(AA40,AA41:AA$139,0))&gt;1),0,MATCH(AA40,AA41:AA$139,0))</f>
        <v>0</v>
      </c>
      <c r="AR40" s="395">
        <f t="shared" ca="1" si="14"/>
        <v>0</v>
      </c>
      <c r="BF40" s="395">
        <f t="shared" si="15"/>
        <v>30</v>
      </c>
    </row>
    <row r="41" spans="1:58" ht="12.9">
      <c r="A41" s="387">
        <f t="shared" ca="1" si="0"/>
        <v>3</v>
      </c>
      <c r="B41" s="387">
        <f t="shared" ca="1" si="1"/>
        <v>1</v>
      </c>
      <c r="C41" s="387">
        <f t="shared" ca="1" si="2"/>
        <v>80.69</v>
      </c>
      <c r="D41" s="387">
        <f t="shared" ca="1" si="3"/>
        <v>317</v>
      </c>
      <c r="E41" s="387">
        <f t="shared" ca="1" si="4"/>
        <v>19</v>
      </c>
      <c r="F41" s="417" t="str">
        <f t="shared" ca="1" si="5"/>
        <v>91080690999682999980630269</v>
      </c>
      <c r="G41" s="453" t="b">
        <f t="shared" ca="1" si="6"/>
        <v>0</v>
      </c>
      <c r="H41" s="454">
        <f t="shared" si="7"/>
        <v>31</v>
      </c>
      <c r="I41" s="455">
        <f t="shared" ca="1" si="8"/>
        <v>22119</v>
      </c>
      <c r="J41" s="456" t="str">
        <f ca="1">IF(N(I41)&gt;0,VLOOKUP(I41,Hraci!$A$1:$I$1500,2,0),IF(TYPE(INDIRECT(ADDRESS(ROW() + $A$9-9 + (ROW()-11)*4,2,1,1,"Internet")))&gt;1,INDIRECT(ADDRESS(ROW() + $A$9-9 + (ROW()-11)*4,2,1,1,"Internet"))," "))</f>
        <v>Šídlová</v>
      </c>
      <c r="K41" s="457" t="str">
        <f ca="1">IF(N(I41)&gt;0,VLOOKUP(I41,Hraci!$A$1:$I$1500,3,0)," ")</f>
        <v>Lucie</v>
      </c>
      <c r="L41" s="457" t="str">
        <f ca="1">IF(N(I41)&gt;0,VLOOKUP(I41,Hraci!$A$1:$I$1500,5,0),IF(TYPE(INDIRECT(ADDRESS(ROW() + $A$9-9 + (ROW()-11)*4,3,1,1,"Internet")))&gt;1,INDIRECT(ADDRESS(ROW() + $A$9-9 + (ROW()-11)*4,3,1,1,"Internet"))," "))</f>
        <v>PC Mimo Done</v>
      </c>
      <c r="M41" s="395">
        <f ca="1">IF(N(I41)=0,9999,VLOOKUP(I41,Hraci!$A$1:$I$1500,8,0))</f>
        <v>19</v>
      </c>
      <c r="N41" s="458">
        <f ca="1">IF(N(I41)=0,0,VLOOKUP(I41,Hraci!$A$1:$I$1500,9,0))</f>
        <v>44.25</v>
      </c>
      <c r="O41" s="455">
        <f t="shared" ca="1" si="9"/>
        <v>16151</v>
      </c>
      <c r="P41" s="456" t="str">
        <f ca="1">IF(N(O41)&gt;0,VLOOKUP(O41,Hraci!$A$1:$I$1500,2,0),IF(TYPE(INDIRECT(ADDRESS(ROW() + $A$9-8 + (ROW()-11)*4,2,1,1,"Internet")))&gt;1,INDIRECT(ADDRESS(ROW() + $A$9-8 + (ROW()-11)*4,2,1,1,"Internet"))," "))</f>
        <v>Kára</v>
      </c>
      <c r="Q41" s="457" t="str">
        <f ca="1">IF(N(O41)&gt;0,VLOOKUP(O41,Hraci!$A$1:$I$1500,3,0)," ")</f>
        <v>Jan</v>
      </c>
      <c r="R41" s="457" t="str">
        <f ca="1">IF(N(O41)&gt;0,VLOOKUP(O41,Hraci!$A$1:$I$1500,5,0),IF(TYPE(INDIRECT(ADDRESS(ROW() + $A$9-8 + (ROW()-11)*4,3,1,1,"Internet")))&gt;1,INDIRECT(ADDRESS(ROW() + $A$9-8 + (ROW()-11)*4,3,1,1,"Internet"))," "))</f>
        <v>PC Mimo Done</v>
      </c>
      <c r="S41" s="395">
        <f ca="1">IF(N(O41)=0,9999,VLOOKUP(O41,Hraci!$A$1:$I$1500,8,0))</f>
        <v>203</v>
      </c>
      <c r="T41" s="458">
        <f ca="1">IF(N(O41)=0,0,VLOOKUP(O41,Hraci!$A$1:$I$1500,9,0))</f>
        <v>13.814</v>
      </c>
      <c r="U41" s="455">
        <f t="shared" ca="1" si="10"/>
        <v>15068</v>
      </c>
      <c r="V41" s="456" t="str">
        <f ca="1">IF(N(U41)&gt;0,VLOOKUP(U41,Hraci!$A$1:$I$1500,2,0),IF(TYPE(INDIRECT(ADDRESS(ROW() + $A$9-7 + (ROW()-11)*4,2,1,1,"Internet")))&gt;1,INDIRECT(ADDRESS(ROW() + $A$9-7 + (ROW()-11)*4,2,1,1,"Internet"))," "))</f>
        <v>Žárský</v>
      </c>
      <c r="W41" s="457" t="str">
        <f ca="1">IF(N(U41)&gt;0,VLOOKUP(U41,Hraci!$A$1:$I$1500,3,0)," ")</f>
        <v>Kamil</v>
      </c>
      <c r="X41" s="457" t="str">
        <f ca="1">IF(N(U41)&gt;0,VLOOKUP(U41,Hraci!$A$1:$I$1500,5,0),IF(TYPE(INDIRECT(ADDRESS(ROW() + $A$9-7 + (ROW()-11)*4,3,1,1,"Internet")))&gt;1,INDIRECT(ADDRESS(ROW() + $A$9-7 + (ROW()-11)*4,3,1,1,"Internet"))," "))</f>
        <v>POP Praha</v>
      </c>
      <c r="Y41" s="395">
        <f ca="1">IF(N(U41)=0,9999,VLOOKUP(U41,Hraci!$A$1:$I$1500,8,0))</f>
        <v>95</v>
      </c>
      <c r="Z41" s="458">
        <f ca="1">IF(N(U41)=0,0,VLOOKUP(U41,Hraci!$A$1:$I$1500,9,0))</f>
        <v>22.626000000000001</v>
      </c>
      <c r="AA41" s="455" t="str">
        <f t="shared" ca="1" si="11"/>
        <v/>
      </c>
      <c r="AB41" s="456" t="str">
        <f ca="1">IF(N(AA41)&gt;0,VLOOKUP(AA41,Hraci!$A$1:$I$1500,2,0)," ")</f>
        <v xml:space="preserve"> </v>
      </c>
      <c r="AC41" s="457" t="str">
        <f ca="1">IF(N(AA41)&gt;0,VLOOKUP(AA41,Hraci!$A$1:$I$1500,3,0)," ")</f>
        <v xml:space="preserve"> </v>
      </c>
      <c r="AD41" s="457" t="str">
        <f ca="1">IF(N(AA41)&gt;0,VLOOKUP(AA41,Hraci!$A$1:$I$1500,5,0)," ")</f>
        <v xml:space="preserve"> </v>
      </c>
      <c r="AE41" s="395">
        <f ca="1">IF(N(AA41)=0,9999,VLOOKUP(AA41,Hraci!$A$1:$I$1500,8,0))</f>
        <v>9999</v>
      </c>
      <c r="AF41" s="458">
        <f ca="1">IF(N(AA41)=0,0,VLOOKUP(AA41,Hraci!$A$1:$I$1500,9,0))</f>
        <v>0</v>
      </c>
      <c r="AG41" s="459"/>
      <c r="AH41" s="465">
        <f ca="1">IF(TYPE(VLOOKUP(H41,Nasazení!$A$3:$E$130,5,0))&lt;4,VLOOKUP(H41,Nasazení!$A$3:$E$130,5,0),0)</f>
        <v>32</v>
      </c>
      <c r="AI41" s="460">
        <f ca="1">IF(N($AH41)&gt;0,VLOOKUP($AH41,Body!$A$4:$F$259,5,0),"")</f>
        <v>38.074437500000002</v>
      </c>
      <c r="AJ41" s="461">
        <f ca="1">IF(N($AH41)&gt;0,VLOOKUP($AH41,Body!$A$4:$F$259,6,0),"")</f>
        <v>0</v>
      </c>
      <c r="AK41" s="460">
        <f ca="1">IF(N($AH41)&gt;0,VLOOKUP($AH41,Body!$A$4:$F$259,2,0),"")</f>
        <v>1</v>
      </c>
      <c r="AL41" s="462" t="str">
        <f t="shared" ca="1" si="12"/>
        <v>31 PC Mimo Done - Šídlová Lucie</v>
      </c>
      <c r="AM41" s="463">
        <f t="shared" ca="1" si="13"/>
        <v>80.69</v>
      </c>
      <c r="AN41" s="395">
        <f ca="1">IF(OR(TYPE(I41)&gt;1,TYPE(MATCH(I41,I42:I$139,0))&gt;1),0,MATCH(I41,I42:I$139,0))+IF(OR(TYPE(I41)&gt;1,TYPE(MATCH(I41,O$11:O$139,0))&gt;1),0,MATCH(I41,O$11:O$139,0))+IF(OR(TYPE(I41)&gt;1,TYPE(MATCH(I41,U$11:U$139,0))&gt;1),0,MATCH(I41,U$11:U$139,0))+IF(OR(TYPE(I41)&gt;1,TYPE(MATCH(I41,AA$11:AA$139,0))&gt;1),0,MATCH(I41,AA$11:AA$139,0))</f>
        <v>0</v>
      </c>
      <c r="AO41" s="395">
        <f ca="1">IF(OR(TYPE(O41)&gt;1,TYPE(MATCH(O41,I$11:I$139,0))&gt;1),0,MATCH(O41,I$11:I$139,0))+IF(OR(TYPE(O41)&gt;1,TYPE(MATCH(O41,O42:O$139,0))&gt;1),0,MATCH(O41,O42:O$139,0))+IF(OR(TYPE(O41)&gt;1,TYPE(MATCH(O41,U$11:U$139,0))&gt;1),0,MATCH(O41,U$11:U$139,0))+IF(OR(TYPE(O41)&gt;1,TYPE(MATCH(O41,AA$11:AA$139,0))&gt;1),0,MATCH(O41,AA$11:AA$139,0))</f>
        <v>0</v>
      </c>
      <c r="AP41" s="395">
        <f ca="1">IF(OR(TYPE(U41)&gt;1,TYPE(MATCH(U41,I$11:I$139,0))&gt;1),0,MATCH(U41,I$11:I$139,0))+IF(OR(TYPE(U41)&gt;1,TYPE(MATCH(U41,O$11:O$139,0))&gt;1),0,MATCH(U41,O$11:O$139,0))+IF(OR(TYPE(U41)&gt;1,TYPE(MATCH(U41,U42:U$139,0))&gt;1),0,MATCH(U41,U42:U$139,0))+IF(OR(TYPE(U41)&gt;1,TYPE(MATCH(U41,AA$11:AA$139,0))&gt;1),0,MATCH(U41,AA$11:AA$139,0))</f>
        <v>0</v>
      </c>
      <c r="AQ41" s="395">
        <f ca="1">IF(OR(TYPE(AA41)&gt;1,TYPE(MATCH(AA41,I$11:I$139,0))&gt;1),0,MATCH(AA41,I$11:I$139,0))+IF(OR(TYPE(AA41)&gt;1,TYPE(MATCH(AA41,O$11:O$139,0))&gt;1),0,MATCH(AA41,O$11:O$139,0))+IF(OR(TYPE(AA41)&gt;1,TYPE(MATCH(AA41,U$11:U$139,0))&gt;1),0,MATCH(U41,U$11:U$139,0))+IF(OR(TYPE(AA41)&gt;1,TYPE(MATCH(AA41,AA42:AA$139,0))&gt;1),0,MATCH(AA41,AA42:AA$139,0))</f>
        <v>0</v>
      </c>
      <c r="AR41" s="395">
        <f t="shared" ca="1" si="14"/>
        <v>0</v>
      </c>
      <c r="BF41" s="395">
        <f t="shared" si="15"/>
        <v>31</v>
      </c>
    </row>
    <row r="42" spans="1:58" ht="12.9">
      <c r="A42" s="387">
        <f t="shared" ca="1" si="0"/>
        <v>3</v>
      </c>
      <c r="B42" s="387">
        <f t="shared" ca="1" si="1"/>
        <v>1</v>
      </c>
      <c r="C42" s="387">
        <f t="shared" ca="1" si="2"/>
        <v>80.563999999999993</v>
      </c>
      <c r="D42" s="387">
        <f t="shared" ca="1" si="3"/>
        <v>342</v>
      </c>
      <c r="E42" s="387">
        <f t="shared" ca="1" si="4"/>
        <v>88</v>
      </c>
      <c r="F42" s="417" t="str">
        <f t="shared" ca="1" si="5"/>
        <v>91080564999657999911729165</v>
      </c>
      <c r="G42" s="453" t="b">
        <f t="shared" ca="1" si="6"/>
        <v>0</v>
      </c>
      <c r="H42" s="454">
        <f t="shared" si="7"/>
        <v>32</v>
      </c>
      <c r="I42" s="455">
        <f t="shared" ca="1" si="8"/>
        <v>19025</v>
      </c>
      <c r="J42" s="456" t="str">
        <f ca="1">IF(N(I42)&gt;0,VLOOKUP(I42,Hraci!$A$1:$I$1500,2,0),IF(TYPE(INDIRECT(ADDRESS(ROW() + $A$9-9 + (ROW()-11)*4,2,1,1,"Internet")))&gt;1,INDIRECT(ADDRESS(ROW() + $A$9-9 + (ROW()-11)*4,2,1,1,"Internet"))," "))</f>
        <v>Maňák</v>
      </c>
      <c r="K42" s="457" t="str">
        <f ca="1">IF(N(I42)&gt;0,VLOOKUP(I42,Hraci!$A$1:$I$1500,3,0)," ")</f>
        <v>Jan</v>
      </c>
      <c r="L42" s="457" t="str">
        <f ca="1">IF(N(I42)&gt;0,VLOOKUP(I42,Hraci!$A$1:$I$1500,5,0),IF(TYPE(INDIRECT(ADDRESS(ROW() + $A$9-9 + (ROW()-11)*4,3,1,1,"Internet")))&gt;1,INDIRECT(ADDRESS(ROW() + $A$9-9 + (ROW()-11)*4,3,1,1,"Internet"))," "))</f>
        <v>Petank Club Praha</v>
      </c>
      <c r="M42" s="395">
        <f ca="1">IF(N(I42)=0,9999,VLOOKUP(I42,Hraci!$A$1:$I$1500,8,0))</f>
        <v>115</v>
      </c>
      <c r="N42" s="458">
        <f ca="1">IF(N(I42)=0,0,VLOOKUP(I42,Hraci!$A$1:$I$1500,9,0))</f>
        <v>26.375</v>
      </c>
      <c r="O42" s="455">
        <f t="shared" ca="1" si="9"/>
        <v>18055</v>
      </c>
      <c r="P42" s="456" t="str">
        <f ca="1">IF(N(O42)&gt;0,VLOOKUP(O42,Hraci!$A$1:$I$1500,2,0),IF(TYPE(INDIRECT(ADDRESS(ROW() + $A$9-8 + (ROW()-11)*4,2,1,1,"Internet")))&gt;1,INDIRECT(ADDRESS(ROW() + $A$9-8 + (ROW()-11)*4,2,1,1,"Internet"))," "))</f>
        <v>Dostál</v>
      </c>
      <c r="Q42" s="457" t="str">
        <f ca="1">IF(N(O42)&gt;0,VLOOKUP(O42,Hraci!$A$1:$I$1500,3,0)," ")</f>
        <v>Pavel</v>
      </c>
      <c r="R42" s="457" t="str">
        <f ca="1">IF(N(O42)&gt;0,VLOOKUP(O42,Hraci!$A$1:$I$1500,5,0),IF(TYPE(INDIRECT(ADDRESS(ROW() + $A$9-8 + (ROW()-11)*4,3,1,1,"Internet")))&gt;1,INDIRECT(ADDRESS(ROW() + $A$9-8 + (ROW()-11)*4,3,1,1,"Internet"))," "))</f>
        <v>Petank Club Praha</v>
      </c>
      <c r="S42" s="395">
        <f ca="1">IF(N(O42)=0,9999,VLOOKUP(O42,Hraci!$A$1:$I$1500,8,0))</f>
        <v>139</v>
      </c>
      <c r="T42" s="458">
        <f ca="1">IF(N(O42)=0,0,VLOOKUP(O42,Hraci!$A$1:$I$1500,9,0))</f>
        <v>20.439</v>
      </c>
      <c r="U42" s="455">
        <f t="shared" ca="1" si="10"/>
        <v>16117</v>
      </c>
      <c r="V42" s="456" t="str">
        <f ca="1">IF(N(U42)&gt;0,VLOOKUP(U42,Hraci!$A$1:$I$1500,2,0),IF(TYPE(INDIRECT(ADDRESS(ROW() + $A$9-7 + (ROW()-11)*4,2,1,1,"Internet")))&gt;1,INDIRECT(ADDRESS(ROW() + $A$9-7 + (ROW()-11)*4,2,1,1,"Internet"))," "))</f>
        <v>Stejskal</v>
      </c>
      <c r="W42" s="457" t="str">
        <f ca="1">IF(N(U42)&gt;0,VLOOKUP(U42,Hraci!$A$1:$I$1500,3,0)," ")</f>
        <v>Václav</v>
      </c>
      <c r="X42" s="457" t="str">
        <f ca="1">IF(N(U42)&gt;0,VLOOKUP(U42,Hraci!$A$1:$I$1500,5,0),IF(TYPE(INDIRECT(ADDRESS(ROW() + $A$9-7 + (ROW()-11)*4,3,1,1,"Internet")))&gt;1,INDIRECT(ADDRESS(ROW() + $A$9-7 + (ROW()-11)*4,3,1,1,"Internet"))," "))</f>
        <v>JAPKO</v>
      </c>
      <c r="Y42" s="395">
        <f ca="1">IF(N(U42)=0,9999,VLOOKUP(U42,Hraci!$A$1:$I$1500,8,0))</f>
        <v>88</v>
      </c>
      <c r="Z42" s="458">
        <f ca="1">IF(N(U42)=0,0,VLOOKUP(U42,Hraci!$A$1:$I$1500,9,0))</f>
        <v>33.75</v>
      </c>
      <c r="AA42" s="455" t="str">
        <f t="shared" ca="1" si="11"/>
        <v/>
      </c>
      <c r="AB42" s="456" t="str">
        <f ca="1">IF(N(AA42)&gt;0,VLOOKUP(AA42,Hraci!$A$1:$I$1500,2,0)," ")</f>
        <v xml:space="preserve"> </v>
      </c>
      <c r="AC42" s="457" t="str">
        <f ca="1">IF(N(AA42)&gt;0,VLOOKUP(AA42,Hraci!$A$1:$I$1500,3,0)," ")</f>
        <v xml:space="preserve"> </v>
      </c>
      <c r="AD42" s="457" t="str">
        <f ca="1">IF(N(AA42)&gt;0,VLOOKUP(AA42,Hraci!$A$1:$I$1500,5,0)," ")</f>
        <v xml:space="preserve"> </v>
      </c>
      <c r="AE42" s="395">
        <f ca="1">IF(N(AA42)=0,9999,VLOOKUP(AA42,Hraci!$A$1:$I$1500,8,0))</f>
        <v>9999</v>
      </c>
      <c r="AF42" s="458">
        <f ca="1">IF(N(AA42)=0,0,VLOOKUP(AA42,Hraci!$A$1:$I$1500,9,0))</f>
        <v>0</v>
      </c>
      <c r="AG42" s="459"/>
      <c r="AH42" s="465">
        <v>48</v>
      </c>
      <c r="AI42" s="460">
        <f ca="1">IF(N($AH42)&gt;0,VLOOKUP($AH42,Body!$A$4:$F$259,5,0),"")</f>
        <v>19.037218750000001</v>
      </c>
      <c r="AJ42" s="461">
        <f ca="1">IF(N($AH42)&gt;0,VLOOKUP($AH42,Body!$A$4:$F$259,6,0),"")</f>
        <v>0</v>
      </c>
      <c r="AK42" s="460">
        <f ca="1">IF(N($AH42)&gt;0,VLOOKUP($AH42,Body!$A$4:$F$259,2,0),"")</f>
        <v>0.5</v>
      </c>
      <c r="AL42" s="462" t="str">
        <f t="shared" ca="1" si="12"/>
        <v>32 Petank Club Praha - Maňák Jan</v>
      </c>
      <c r="AM42" s="463">
        <f t="shared" ca="1" si="13"/>
        <v>80.563999999999993</v>
      </c>
      <c r="AN42" s="395">
        <f ca="1">IF(OR(TYPE(I42)&gt;1,TYPE(MATCH(I42,I43:I$139,0))&gt;1),0,MATCH(I42,I43:I$139,0))+IF(OR(TYPE(I42)&gt;1,TYPE(MATCH(I42,O$11:O$139,0))&gt;1),0,MATCH(I42,O$11:O$139,0))+IF(OR(TYPE(I42)&gt;1,TYPE(MATCH(I42,U$11:U$139,0))&gt;1),0,MATCH(I42,U$11:U$139,0))+IF(OR(TYPE(I42)&gt;1,TYPE(MATCH(I42,AA$11:AA$139,0))&gt;1),0,MATCH(I42,AA$11:AA$139,0))</f>
        <v>0</v>
      </c>
      <c r="AO42" s="395">
        <f ca="1">IF(OR(TYPE(O42)&gt;1,TYPE(MATCH(O42,I$11:I$139,0))&gt;1),0,MATCH(O42,I$11:I$139,0))+IF(OR(TYPE(O42)&gt;1,TYPE(MATCH(O42,O43:O$139,0))&gt;1),0,MATCH(O42,O43:O$139,0))+IF(OR(TYPE(O42)&gt;1,TYPE(MATCH(O42,U$11:U$139,0))&gt;1),0,MATCH(O42,U$11:U$139,0))+IF(OR(TYPE(O42)&gt;1,TYPE(MATCH(O42,AA$11:AA$139,0))&gt;1),0,MATCH(O42,AA$11:AA$139,0))</f>
        <v>0</v>
      </c>
      <c r="AP42" s="395">
        <f ca="1">IF(OR(TYPE(U42)&gt;1,TYPE(MATCH(U42,I$11:I$139,0))&gt;1),0,MATCH(U42,I$11:I$139,0))+IF(OR(TYPE(U42)&gt;1,TYPE(MATCH(U42,O$11:O$139,0))&gt;1),0,MATCH(U42,O$11:O$139,0))+IF(OR(TYPE(U42)&gt;1,TYPE(MATCH(U42,U43:U$139,0))&gt;1),0,MATCH(U42,U43:U$139,0))+IF(OR(TYPE(U42)&gt;1,TYPE(MATCH(U42,AA$11:AA$139,0))&gt;1),0,MATCH(U42,AA$11:AA$139,0))</f>
        <v>0</v>
      </c>
      <c r="AQ42" s="395">
        <f ca="1">IF(OR(TYPE(AA42)&gt;1,TYPE(MATCH(AA42,I$11:I$139,0))&gt;1),0,MATCH(AA42,I$11:I$139,0))+IF(OR(TYPE(AA42)&gt;1,TYPE(MATCH(AA42,O$11:O$139,0))&gt;1),0,MATCH(AA42,O$11:O$139,0))+IF(OR(TYPE(AA42)&gt;1,TYPE(MATCH(AA42,U$11:U$139,0))&gt;1),0,MATCH(U42,U$11:U$139,0))+IF(OR(TYPE(AA42)&gt;1,TYPE(MATCH(AA42,AA43:AA$139,0))&gt;1),0,MATCH(AA42,AA43:AA$139,0))</f>
        <v>0</v>
      </c>
      <c r="AR42" s="395">
        <f t="shared" ca="1" si="14"/>
        <v>0</v>
      </c>
      <c r="BF42" s="395">
        <f t="shared" si="15"/>
        <v>32</v>
      </c>
    </row>
    <row r="43" spans="1:58" ht="12.9">
      <c r="A43" s="387">
        <f t="shared" ref="A43:A74" ca="1" si="16">IF(OR(LEFT(J43,1)=" ",ISBLANK(J43)),0,1)+IF(OR(LEFT(P43,1)=" ",ISBLANK(P43)),0,1)+IF(OR(LEFT(V43,1)=" ",ISBLANK(V43)),0,1)</f>
        <v>3</v>
      </c>
      <c r="B43" s="387">
        <f t="shared" ref="B43:B74" ca="1" si="17">IF(AND(TYPE(G43&lt;15),G43=FALSE),1,0)</f>
        <v>1</v>
      </c>
      <c r="C43" s="387">
        <f t="shared" ref="C43:C74" ca="1" si="18">IF(B43=0,0,N43+T43+Z43)</f>
        <v>77.533000000000001</v>
      </c>
      <c r="D43" s="387">
        <f t="shared" ref="D43:D74" ca="1" si="19">IF(B43=0,99999,M43+S43+Y43)</f>
        <v>381</v>
      </c>
      <c r="E43" s="387">
        <f t="shared" ref="E43:E74" ca="1" si="20">MIN(M43,S43,Y43)</f>
        <v>67</v>
      </c>
      <c r="F43" s="417" t="str">
        <f t="shared" ref="F43:F74" ca="1" si="21">CONCATENATE(IF(AND($P$4=1,H43&gt;2*$O$7),"0","9"),TEXT(B43,"0"),IF(AND($P$4=1,H43&gt;2*$O$7),"000000",TEXT(1000*C43,"000000")),IF(AND($P$4=1,H43&gt;2*$O$7),"000000",TEXT(999999-D43,"000000")),IF(AND($P$4=1,H43&gt;2*$O$7),"000000",TEXT(999999-E43,"000000")),TEXT(999999*RAND(),"000000"))</f>
        <v>01000000000000000000481142</v>
      </c>
      <c r="G43" s="453" t="b">
        <f t="shared" ref="G43:G74" ca="1" si="22">IF(OR($K$6&gt;A43,AR43&gt;0),TRUE,FALSE)</f>
        <v>0</v>
      </c>
      <c r="H43" s="454">
        <f t="shared" ref="H43:H74" si="23">ROW(H43)-10</f>
        <v>33</v>
      </c>
      <c r="I43" s="455">
        <f t="shared" ref="I43:I74" ca="1" si="24">IF(N(INDIRECT(ADDRESS(ROW() + $A$9-9 + (ROW()-11)*4,1,1,1,"Internet")))&gt;0,INDIRECT(ADDRESS(ROW() + $A$9-9 + (ROW()-11)*4,1,1,1,"Internet")),"")</f>
        <v>21053</v>
      </c>
      <c r="J43" s="456" t="str">
        <f ca="1">IF(N(I43)&gt;0,VLOOKUP(I43,Hraci!$A$1:$I$1500,2,0),IF(TYPE(INDIRECT(ADDRESS(ROW() + $A$9-9 + (ROW()-11)*4,2,1,1,"Internet")))&gt;1,INDIRECT(ADDRESS(ROW() + $A$9-9 + (ROW()-11)*4,2,1,1,"Internet"))," "))</f>
        <v>Ptáčková</v>
      </c>
      <c r="K43" s="457" t="str">
        <f ca="1">IF(N(I43)&gt;0,VLOOKUP(I43,Hraci!$A$1:$I$1500,3,0)," ")</f>
        <v>Eliška</v>
      </c>
      <c r="L43" s="457" t="str">
        <f ca="1">IF(N(I43)&gt;0,VLOOKUP(I43,Hraci!$A$1:$I$1500,5,0),IF(TYPE(INDIRECT(ADDRESS(ROW() + $A$9-9 + (ROW()-11)*4,3,1,1,"Internet")))&gt;1,INDIRECT(ADDRESS(ROW() + $A$9-9 + (ROW()-11)*4,3,1,1,"Internet"))," "))</f>
        <v>HRODE KRUMSÍN</v>
      </c>
      <c r="M43" s="395">
        <f ca="1">IF(N(I43)=0,9999,VLOOKUP(I43,Hraci!$A$1:$I$1500,8,0))</f>
        <v>67</v>
      </c>
      <c r="N43" s="458">
        <f ca="1">IF(N(I43)=0,0,VLOOKUP(I43,Hraci!$A$1:$I$1500,9,0))</f>
        <v>31.687999999999999</v>
      </c>
      <c r="O43" s="455">
        <f t="shared" ref="O43:O74" ca="1" si="25">IF(N(INDIRECT(ADDRESS(ROW() + $A$9-8 + (ROW()-11)*4,1,1,1,"Internet")))&gt;0,INDIRECT(ADDRESS(ROW() + $A$9-8 + (ROW()-11)*4,1,1,1,"Internet")),"")</f>
        <v>20554</v>
      </c>
      <c r="P43" s="456" t="str">
        <f ca="1">IF(N(O43)&gt;0,VLOOKUP(O43,Hraci!$A$1:$I$1500,2,0),IF(TYPE(INDIRECT(ADDRESS(ROW() + $A$9-8 + (ROW()-11)*4,2,1,1,"Internet")))&gt;1,INDIRECT(ADDRESS(ROW() + $A$9-8 + (ROW()-11)*4,2,1,1,"Internet"))," "))</f>
        <v>Ptáček</v>
      </c>
      <c r="Q43" s="457" t="str">
        <f ca="1">IF(N(O43)&gt;0,VLOOKUP(O43,Hraci!$A$1:$I$1500,3,0)," ")</f>
        <v>Luboš</v>
      </c>
      <c r="R43" s="457" t="str">
        <f ca="1">IF(N(O43)&gt;0,VLOOKUP(O43,Hraci!$A$1:$I$1500,5,0),IF(TYPE(INDIRECT(ADDRESS(ROW() + $A$9-8 + (ROW()-11)*4,3,1,1,"Internet")))&gt;1,INDIRECT(ADDRESS(ROW() + $A$9-8 + (ROW()-11)*4,3,1,1,"Internet"))," "))</f>
        <v>HRODE KRUMSÍN</v>
      </c>
      <c r="S43" s="395">
        <f ca="1">IF(N(O43)=0,9999,VLOOKUP(O43,Hraci!$A$1:$I$1500,8,0))</f>
        <v>73</v>
      </c>
      <c r="T43" s="458">
        <f ca="1">IF(N(O43)=0,0,VLOOKUP(O43,Hraci!$A$1:$I$1500,9,0))</f>
        <v>28.812999999999999</v>
      </c>
      <c r="U43" s="455">
        <f t="shared" ref="U43:U74" ca="1" si="26">IF(N(INDIRECT(ADDRESS(ROW() + $A$9-7 + (ROW()-11)*4,1,1,1,"Internet")))&gt;0,INDIRECT(ADDRESS(ROW() + $A$9-7 + (ROW()-11)*4,1,1,1,"Internet")),"")</f>
        <v>20579</v>
      </c>
      <c r="V43" s="456" t="str">
        <f ca="1">IF(N(U43)&gt;0,VLOOKUP(U43,Hraci!$A$1:$I$1500,2,0),IF(TYPE(INDIRECT(ADDRESS(ROW() + $A$9-7 + (ROW()-11)*4,2,1,1,"Internet")))&gt;1,INDIRECT(ADDRESS(ROW() + $A$9-7 + (ROW()-11)*4,2,1,1,"Internet"))," "))</f>
        <v>Rusková</v>
      </c>
      <c r="W43" s="457" t="str">
        <f ca="1">IF(N(U43)&gt;0,VLOOKUP(U43,Hraci!$A$1:$I$1500,3,0)," ")</f>
        <v>Rozálie</v>
      </c>
      <c r="X43" s="457" t="str">
        <f ca="1">IF(N(U43)&gt;0,VLOOKUP(U43,Hraci!$A$1:$I$1500,5,0),IF(TYPE(INDIRECT(ADDRESS(ROW() + $A$9-7 + (ROW()-11)*4,3,1,1,"Internet")))&gt;1,INDIRECT(ADDRESS(ROW() + $A$9-7 + (ROW()-11)*4,3,1,1,"Internet"))," "))</f>
        <v>PK Polouvsí</v>
      </c>
      <c r="Y43" s="395">
        <f ca="1">IF(N(U43)=0,9999,VLOOKUP(U43,Hraci!$A$1:$I$1500,8,0))</f>
        <v>241</v>
      </c>
      <c r="Z43" s="458">
        <f ca="1">IF(N(U43)=0,0,VLOOKUP(U43,Hraci!$A$1:$I$1500,9,0))</f>
        <v>17.032</v>
      </c>
      <c r="AA43" s="455" t="str">
        <f t="shared" ref="AA43:AA74" ca="1" si="27">IF(N(INDIRECT(ADDRESS(ROW() + $A$9-6 + (ROW()-11)*4,1,1,1,"Internet")))&gt;0,INDIRECT(ADDRESS(ROW() + $A$9-6 + (ROW()-11)*4,1,1,1,"Internet")),"")</f>
        <v/>
      </c>
      <c r="AB43" s="456" t="str">
        <f ca="1">IF(N(AA43)&gt;0,VLOOKUP(AA43,Hraci!$A$1:$I$1500,2,0)," ")</f>
        <v xml:space="preserve"> </v>
      </c>
      <c r="AC43" s="457" t="str">
        <f ca="1">IF(N(AA43)&gt;0,VLOOKUP(AA43,Hraci!$A$1:$I$1500,3,0)," ")</f>
        <v xml:space="preserve"> </v>
      </c>
      <c r="AD43" s="457" t="str">
        <f ca="1">IF(N(AA43)&gt;0,VLOOKUP(AA43,Hraci!$A$1:$I$1500,5,0)," ")</f>
        <v xml:space="preserve"> </v>
      </c>
      <c r="AE43" s="395">
        <f ca="1">IF(N(AA43)=0,9999,VLOOKUP(AA43,Hraci!$A$1:$I$1500,8,0))</f>
        <v>9999</v>
      </c>
      <c r="AF43" s="458">
        <f ca="1">IF(N(AA43)=0,0,VLOOKUP(AA43,Hraci!$A$1:$I$1500,9,0))</f>
        <v>0</v>
      </c>
      <c r="AG43" s="459"/>
      <c r="AH43" s="465">
        <v>32</v>
      </c>
      <c r="AI43" s="460">
        <f ca="1">IF(N($AH43)&gt;0,VLOOKUP($AH43,Body!$A$4:$F$259,5,0),"")</f>
        <v>38.074437500000002</v>
      </c>
      <c r="AJ43" s="461">
        <f ca="1">IF(N($AH43)&gt;0,VLOOKUP($AH43,Body!$A$4:$F$259,6,0),"")</f>
        <v>0</v>
      </c>
      <c r="AK43" s="460">
        <f ca="1">IF(N($AH43)&gt;0,VLOOKUP($AH43,Body!$A$4:$F$259,2,0),"")</f>
        <v>1</v>
      </c>
      <c r="AL43" s="462" t="str">
        <f t="shared" ref="AL43:AL74" ca="1" si="28">IF(N(H43)&gt;$K$7,"",CONCATENATE(IF($U$7="","",H43&amp;" "),L43,IF(L43="",""," - "),J43," ",K43))</f>
        <v>33 HRODE KRUMSÍN - Ptáčková Eliška</v>
      </c>
      <c r="AM43" s="463">
        <f t="shared" ref="AM43:AM74" ca="1" si="29">C43</f>
        <v>77.533000000000001</v>
      </c>
      <c r="AN43" s="395">
        <f ca="1">IF(OR(TYPE(I43)&gt;1,TYPE(MATCH(I43,I44:I$139,0))&gt;1),0,MATCH(I43,I44:I$139,0))+IF(OR(TYPE(I43)&gt;1,TYPE(MATCH(I43,O$11:O$139,0))&gt;1),0,MATCH(I43,O$11:O$139,0))+IF(OR(TYPE(I43)&gt;1,TYPE(MATCH(I43,U$11:U$139,0))&gt;1),0,MATCH(I43,U$11:U$139,0))+IF(OR(TYPE(I43)&gt;1,TYPE(MATCH(I43,AA$11:AA$139,0))&gt;1),0,MATCH(I43,AA$11:AA$139,0))</f>
        <v>0</v>
      </c>
      <c r="AO43" s="395">
        <f ca="1">IF(OR(TYPE(O43)&gt;1,TYPE(MATCH(O43,I$11:I$139,0))&gt;1),0,MATCH(O43,I$11:I$139,0))+IF(OR(TYPE(O43)&gt;1,TYPE(MATCH(O43,O44:O$139,0))&gt;1),0,MATCH(O43,O44:O$139,0))+IF(OR(TYPE(O43)&gt;1,TYPE(MATCH(O43,U$11:U$139,0))&gt;1),0,MATCH(O43,U$11:U$139,0))+IF(OR(TYPE(O43)&gt;1,TYPE(MATCH(O43,AA$11:AA$139,0))&gt;1),0,MATCH(O43,AA$11:AA$139,0))</f>
        <v>0</v>
      </c>
      <c r="AP43" s="395">
        <f ca="1">IF(OR(TYPE(U43)&gt;1,TYPE(MATCH(U43,I$11:I$139,0))&gt;1),0,MATCH(U43,I$11:I$139,0))+IF(OR(TYPE(U43)&gt;1,TYPE(MATCH(U43,O$11:O$139,0))&gt;1),0,MATCH(U43,O$11:O$139,0))+IF(OR(TYPE(U43)&gt;1,TYPE(MATCH(U43,U44:U$139,0))&gt;1),0,MATCH(U43,U44:U$139,0))+IF(OR(TYPE(U43)&gt;1,TYPE(MATCH(U43,AA$11:AA$139,0))&gt;1),0,MATCH(U43,AA$11:AA$139,0))</f>
        <v>0</v>
      </c>
      <c r="AQ43" s="395">
        <f ca="1">IF(OR(TYPE(AA43)&gt;1,TYPE(MATCH(AA43,I$11:I$139,0))&gt;1),0,MATCH(AA43,I$11:I$139,0))+IF(OR(TYPE(AA43)&gt;1,TYPE(MATCH(AA43,O$11:O$139,0))&gt;1),0,MATCH(AA43,O$11:O$139,0))+IF(OR(TYPE(AA43)&gt;1,TYPE(MATCH(AA43,U$11:U$139,0))&gt;1),0,MATCH(U43,U$11:U$139,0))+IF(OR(TYPE(AA43)&gt;1,TYPE(MATCH(AA43,AA44:AA$139,0))&gt;1),0,MATCH(AA43,AA44:AA$139,0))</f>
        <v>0</v>
      </c>
      <c r="AR43" s="395">
        <f t="shared" ca="1" si="14"/>
        <v>0</v>
      </c>
      <c r="BF43" s="395">
        <f t="shared" si="15"/>
        <v>33</v>
      </c>
    </row>
    <row r="44" spans="1:58" ht="12.9">
      <c r="A44" s="387">
        <f t="shared" ca="1" si="16"/>
        <v>3</v>
      </c>
      <c r="B44" s="387">
        <f t="shared" ca="1" si="17"/>
        <v>1</v>
      </c>
      <c r="C44" s="387">
        <f t="shared" ca="1" si="18"/>
        <v>74.033000000000001</v>
      </c>
      <c r="D44" s="387">
        <f t="shared" ca="1" si="19"/>
        <v>422</v>
      </c>
      <c r="E44" s="387">
        <f t="shared" ca="1" si="20"/>
        <v>104</v>
      </c>
      <c r="F44" s="417" t="str">
        <f t="shared" ca="1" si="21"/>
        <v>01000000000000000000351493</v>
      </c>
      <c r="G44" s="453" t="b">
        <f t="shared" ca="1" si="22"/>
        <v>0</v>
      </c>
      <c r="H44" s="454">
        <f t="shared" si="23"/>
        <v>34</v>
      </c>
      <c r="I44" s="455">
        <f t="shared" ca="1" si="24"/>
        <v>25011</v>
      </c>
      <c r="J44" s="456" t="str">
        <f ca="1">IF(N(I44)&gt;0,VLOOKUP(I44,Hraci!$A$1:$I$1500,2,0),IF(TYPE(INDIRECT(ADDRESS(ROW() + $A$9-9 + (ROW()-11)*4,2,1,1,"Internet")))&gt;1,INDIRECT(ADDRESS(ROW() + $A$9-9 + (ROW()-11)*4,2,1,1,"Internet"))," "))</f>
        <v>Jirkovský</v>
      </c>
      <c r="K44" s="457" t="str">
        <f ca="1">IF(N(I44)&gt;0,VLOOKUP(I44,Hraci!$A$1:$I$1500,3,0)," ")</f>
        <v>Tomáš</v>
      </c>
      <c r="L44" s="457" t="str">
        <f ca="1">IF(N(I44)&gt;0,VLOOKUP(I44,Hraci!$A$1:$I$1500,5,0),IF(TYPE(INDIRECT(ADDRESS(ROW() + $A$9-9 + (ROW()-11)*4,3,1,1,"Internet")))&gt;1,INDIRECT(ADDRESS(ROW() + $A$9-9 + (ROW()-11)*4,3,1,1,"Internet"))," "))</f>
        <v>CdP Loděnice</v>
      </c>
      <c r="M44" s="395">
        <f ca="1">IF(N(I44)=0,9999,VLOOKUP(I44,Hraci!$A$1:$I$1500,8,0))</f>
        <v>104</v>
      </c>
      <c r="N44" s="458">
        <f ca="1">IF(N(I44)=0,0,VLOOKUP(I44,Hraci!$A$1:$I$1500,9,0))</f>
        <v>25.407</v>
      </c>
      <c r="O44" s="455">
        <f t="shared" ca="1" si="25"/>
        <v>27062</v>
      </c>
      <c r="P44" s="456" t="str">
        <f ca="1">IF(N(O44)&gt;0,VLOOKUP(O44,Hraci!$A$1:$I$1500,2,0),IF(TYPE(INDIRECT(ADDRESS(ROW() + $A$9-8 + (ROW()-11)*4,2,1,1,"Internet")))&gt;1,INDIRECT(ADDRESS(ROW() + $A$9-8 + (ROW()-11)*4,2,1,1,"Internet"))," "))</f>
        <v>Mrlina</v>
      </c>
      <c r="Q44" s="457" t="str">
        <f ca="1">IF(N(O44)&gt;0,VLOOKUP(O44,Hraci!$A$1:$I$1500,3,0)," ")</f>
        <v>Karel</v>
      </c>
      <c r="R44" s="457" t="str">
        <f ca="1">IF(N(O44)&gt;0,VLOOKUP(O44,Hraci!$A$1:$I$1500,5,0),IF(TYPE(INDIRECT(ADDRESS(ROW() + $A$9-8 + (ROW()-11)*4,3,1,1,"Internet")))&gt;1,INDIRECT(ADDRESS(ROW() + $A$9-8 + (ROW()-11)*4,3,1,1,"Internet"))," "))</f>
        <v>FENYX Adamov</v>
      </c>
      <c r="S44" s="395">
        <f ca="1">IF(N(O44)=0,9999,VLOOKUP(O44,Hraci!$A$1:$I$1500,8,0))</f>
        <v>184</v>
      </c>
      <c r="T44" s="458">
        <f ca="1">IF(N(O44)=0,0,VLOOKUP(O44,Hraci!$A$1:$I$1500,9,0))</f>
        <v>23.437999999999999</v>
      </c>
      <c r="U44" s="455">
        <f t="shared" ca="1" si="26"/>
        <v>11031</v>
      </c>
      <c r="V44" s="456" t="str">
        <f ca="1">IF(N(U44)&gt;0,VLOOKUP(U44,Hraci!$A$1:$I$1500,2,0),IF(TYPE(INDIRECT(ADDRESS(ROW() + $A$9-7 + (ROW()-11)*4,2,1,1,"Internet")))&gt;1,INDIRECT(ADDRESS(ROW() + $A$9-7 + (ROW()-11)*4,2,1,1,"Internet"))," "))</f>
        <v>Šipr</v>
      </c>
      <c r="W44" s="457" t="str">
        <f ca="1">IF(N(U44)&gt;0,VLOOKUP(U44,Hraci!$A$1:$I$1500,3,0)," ")</f>
        <v>Jiří</v>
      </c>
      <c r="X44" s="457" t="str">
        <f ca="1">IF(N(U44)&gt;0,VLOOKUP(U44,Hraci!$A$1:$I$1500,5,0),IF(TYPE(INDIRECT(ADDRESS(ROW() + $A$9-7 + (ROW()-11)*4,3,1,1,"Internet")))&gt;1,INDIRECT(ADDRESS(ROW() + $A$9-7 + (ROW()-11)*4,3,1,1,"Internet"))," "))</f>
        <v>1. Starobrněnský PK</v>
      </c>
      <c r="Y44" s="395">
        <f ca="1">IF(N(U44)=0,9999,VLOOKUP(U44,Hraci!$A$1:$I$1500,8,0))</f>
        <v>134</v>
      </c>
      <c r="Z44" s="458">
        <f ca="1">IF(N(U44)=0,0,VLOOKUP(U44,Hraci!$A$1:$I$1500,9,0))</f>
        <v>25.187999999999999</v>
      </c>
      <c r="AA44" s="455" t="str">
        <f t="shared" ca="1" si="27"/>
        <v/>
      </c>
      <c r="AB44" s="456" t="str">
        <f ca="1">IF(N(AA44)&gt;0,VLOOKUP(AA44,Hraci!$A$1:$I$1500,2,0)," ")</f>
        <v xml:space="preserve"> </v>
      </c>
      <c r="AC44" s="457" t="str">
        <f ca="1">IF(N(AA44)&gt;0,VLOOKUP(AA44,Hraci!$A$1:$I$1500,3,0)," ")</f>
        <v xml:space="preserve"> </v>
      </c>
      <c r="AD44" s="457" t="str">
        <f ca="1">IF(N(AA44)&gt;0,VLOOKUP(AA44,Hraci!$A$1:$I$1500,5,0)," ")</f>
        <v xml:space="preserve"> </v>
      </c>
      <c r="AE44" s="395">
        <f ca="1">IF(N(AA44)=0,9999,VLOOKUP(AA44,Hraci!$A$1:$I$1500,8,0))</f>
        <v>9999</v>
      </c>
      <c r="AF44" s="458">
        <f ca="1">IF(N(AA44)=0,0,VLOOKUP(AA44,Hraci!$A$1:$I$1500,9,0))</f>
        <v>0</v>
      </c>
      <c r="AG44" s="459"/>
      <c r="AH44" s="465">
        <v>48</v>
      </c>
      <c r="AI44" s="460">
        <f ca="1">IF(N($AH44)&gt;0,VLOOKUP($AH44,Body!$A$4:$F$259,5,0),"")</f>
        <v>19.037218750000001</v>
      </c>
      <c r="AJ44" s="461">
        <f ca="1">IF(N($AH44)&gt;0,VLOOKUP($AH44,Body!$A$4:$F$259,6,0),"")</f>
        <v>0</v>
      </c>
      <c r="AK44" s="460">
        <f ca="1">IF(N($AH44)&gt;0,VLOOKUP($AH44,Body!$A$4:$F$259,2,0),"")</f>
        <v>0.5</v>
      </c>
      <c r="AL44" s="462" t="str">
        <f t="shared" ca="1" si="28"/>
        <v>34 CdP Loděnice - Jirkovský Tomáš</v>
      </c>
      <c r="AM44" s="463">
        <f t="shared" ca="1" si="29"/>
        <v>74.033000000000001</v>
      </c>
      <c r="AN44" s="395">
        <f ca="1">IF(OR(TYPE(I44)&gt;1,TYPE(MATCH(I44,I45:I$139,0))&gt;1),0,MATCH(I44,I45:I$139,0))+IF(OR(TYPE(I44)&gt;1,TYPE(MATCH(I44,O$11:O$139,0))&gt;1),0,MATCH(I44,O$11:O$139,0))+IF(OR(TYPE(I44)&gt;1,TYPE(MATCH(I44,U$11:U$139,0))&gt;1),0,MATCH(I44,U$11:U$139,0))+IF(OR(TYPE(I44)&gt;1,TYPE(MATCH(I44,AA$11:AA$139,0))&gt;1),0,MATCH(I44,AA$11:AA$139,0))</f>
        <v>0</v>
      </c>
      <c r="AO44" s="395">
        <f ca="1">IF(OR(TYPE(O44)&gt;1,TYPE(MATCH(O44,I$11:I$139,0))&gt;1),0,MATCH(O44,I$11:I$139,0))+IF(OR(TYPE(O44)&gt;1,TYPE(MATCH(O44,O45:O$139,0))&gt;1),0,MATCH(O44,O45:O$139,0))+IF(OR(TYPE(O44)&gt;1,TYPE(MATCH(O44,U$11:U$139,0))&gt;1),0,MATCH(O44,U$11:U$139,0))+IF(OR(TYPE(O44)&gt;1,TYPE(MATCH(O44,AA$11:AA$139,0))&gt;1),0,MATCH(O44,AA$11:AA$139,0))</f>
        <v>0</v>
      </c>
      <c r="AP44" s="395">
        <f ca="1">IF(OR(TYPE(U44)&gt;1,TYPE(MATCH(U44,I$11:I$139,0))&gt;1),0,MATCH(U44,I$11:I$139,0))+IF(OR(TYPE(U44)&gt;1,TYPE(MATCH(U44,O$11:O$139,0))&gt;1),0,MATCH(U44,O$11:O$139,0))+IF(OR(TYPE(U44)&gt;1,TYPE(MATCH(U44,U45:U$139,0))&gt;1),0,MATCH(U44,U45:U$139,0))+IF(OR(TYPE(U44)&gt;1,TYPE(MATCH(U44,AA$11:AA$139,0))&gt;1),0,MATCH(U44,AA$11:AA$139,0))</f>
        <v>0</v>
      </c>
      <c r="AQ44" s="395">
        <f ca="1">IF(OR(TYPE(AA44)&gt;1,TYPE(MATCH(AA44,I$11:I$139,0))&gt;1),0,MATCH(AA44,I$11:I$139,0))+IF(OR(TYPE(AA44)&gt;1,TYPE(MATCH(AA44,O$11:O$139,0))&gt;1),0,MATCH(AA44,O$11:O$139,0))+IF(OR(TYPE(AA44)&gt;1,TYPE(MATCH(AA44,U$11:U$139,0))&gt;1),0,MATCH(U44,U$11:U$139,0))+IF(OR(TYPE(AA44)&gt;1,TYPE(MATCH(AA44,AA45:AA$139,0))&gt;1),0,MATCH(AA44,AA45:AA$139,0))</f>
        <v>0</v>
      </c>
      <c r="AR44" s="395">
        <f t="shared" ca="1" si="14"/>
        <v>0</v>
      </c>
      <c r="BF44" s="395">
        <f t="shared" si="15"/>
        <v>34</v>
      </c>
    </row>
    <row r="45" spans="1:58" ht="12.9">
      <c r="A45" s="387">
        <f t="shared" ca="1" si="16"/>
        <v>3</v>
      </c>
      <c r="B45" s="387">
        <f t="shared" ca="1" si="17"/>
        <v>1</v>
      </c>
      <c r="C45" s="387">
        <f t="shared" ca="1" si="18"/>
        <v>71.878</v>
      </c>
      <c r="D45" s="387">
        <f t="shared" ca="1" si="19"/>
        <v>349</v>
      </c>
      <c r="E45" s="387">
        <f t="shared" ca="1" si="20"/>
        <v>96</v>
      </c>
      <c r="F45" s="417" t="str">
        <f t="shared" ca="1" si="21"/>
        <v>01000000000000000000231080</v>
      </c>
      <c r="G45" s="453" t="b">
        <f t="shared" ca="1" si="22"/>
        <v>0</v>
      </c>
      <c r="H45" s="454">
        <f t="shared" si="23"/>
        <v>35</v>
      </c>
      <c r="I45" s="455">
        <f t="shared" ca="1" si="24"/>
        <v>15060</v>
      </c>
      <c r="J45" s="456" t="str">
        <f ca="1">IF(N(I45)&gt;0,VLOOKUP(I45,Hraci!$A$1:$I$1500,2,0),IF(TYPE(INDIRECT(ADDRESS(ROW() + $A$9-9 + (ROW()-11)*4,2,1,1,"Internet")))&gt;1,INDIRECT(ADDRESS(ROW() + $A$9-9 + (ROW()-11)*4,2,1,1,"Internet"))," "))</f>
        <v>Horálek</v>
      </c>
      <c r="K45" s="457" t="str">
        <f ca="1">IF(N(I45)&gt;0,VLOOKUP(I45,Hraci!$A$1:$I$1500,3,0)," ")</f>
        <v>Jiří</v>
      </c>
      <c r="L45" s="457" t="str">
        <f ca="1">IF(N(I45)&gt;0,VLOOKUP(I45,Hraci!$A$1:$I$1500,5,0),IF(TYPE(INDIRECT(ADDRESS(ROW() + $A$9-9 + (ROW()-11)*4,3,1,1,"Internet")))&gt;1,INDIRECT(ADDRESS(ROW() + $A$9-9 + (ROW()-11)*4,3,1,1,"Internet"))," "))</f>
        <v>PKT Velký Šanc</v>
      </c>
      <c r="M45" s="395">
        <f ca="1">IF(N(I45)=0,9999,VLOOKUP(I45,Hraci!$A$1:$I$1500,8,0))</f>
        <v>96</v>
      </c>
      <c r="N45" s="458">
        <f ca="1">IF(N(I45)=0,0,VLOOKUP(I45,Hraci!$A$1:$I$1500,9,0))</f>
        <v>28.001000000000001</v>
      </c>
      <c r="O45" s="455">
        <f t="shared" ca="1" si="25"/>
        <v>17090</v>
      </c>
      <c r="P45" s="456" t="str">
        <f ca="1">IF(N(O45)&gt;0,VLOOKUP(O45,Hraci!$A$1:$I$1500,2,0),IF(TYPE(INDIRECT(ADDRESS(ROW() + $A$9-8 + (ROW()-11)*4,2,1,1,"Internet")))&gt;1,INDIRECT(ADDRESS(ROW() + $A$9-8 + (ROW()-11)*4,2,1,1,"Internet"))," "))</f>
        <v>Sedláčková</v>
      </c>
      <c r="Q45" s="457" t="str">
        <f ca="1">IF(N(O45)&gt;0,VLOOKUP(O45,Hraci!$A$1:$I$1500,3,0)," ")</f>
        <v>Marie</v>
      </c>
      <c r="R45" s="457" t="str">
        <f ca="1">IF(N(O45)&gt;0,VLOOKUP(O45,Hraci!$A$1:$I$1500,5,0),IF(TYPE(INDIRECT(ADDRESS(ROW() + $A$9-8 + (ROW()-11)*4,3,1,1,"Internet")))&gt;1,INDIRECT(ADDRESS(ROW() + $A$9-8 + (ROW()-11)*4,3,1,1,"Internet"))," "))</f>
        <v>PKT Velký Šanc</v>
      </c>
      <c r="S45" s="395">
        <f ca="1">IF(N(O45)=0,9999,VLOOKUP(O45,Hraci!$A$1:$I$1500,8,0))</f>
        <v>126</v>
      </c>
      <c r="T45" s="458">
        <f ca="1">IF(N(O45)=0,0,VLOOKUP(O45,Hraci!$A$1:$I$1500,9,0))</f>
        <v>21.751000000000001</v>
      </c>
      <c r="U45" s="455">
        <f t="shared" ca="1" si="26"/>
        <v>18130</v>
      </c>
      <c r="V45" s="456" t="str">
        <f ca="1">IF(N(U45)&gt;0,VLOOKUP(U45,Hraci!$A$1:$I$1500,2,0),IF(TYPE(INDIRECT(ADDRESS(ROW() + $A$9-7 + (ROW()-11)*4,2,1,1,"Internet")))&gt;1,INDIRECT(ADDRESS(ROW() + $A$9-7 + (ROW()-11)*4,2,1,1,"Internet"))," "))</f>
        <v>Semrád</v>
      </c>
      <c r="W45" s="457" t="str">
        <f ca="1">IF(N(U45)&gt;0,VLOOKUP(U45,Hraci!$A$1:$I$1500,3,0)," ")</f>
        <v>Oldřich</v>
      </c>
      <c r="X45" s="457" t="str">
        <f ca="1">IF(N(U45)&gt;0,VLOOKUP(U45,Hraci!$A$1:$I$1500,5,0),IF(TYPE(INDIRECT(ADDRESS(ROW() + $A$9-7 + (ROW()-11)*4,3,1,1,"Internet")))&gt;1,INDIRECT(ADDRESS(ROW() + $A$9-7 + (ROW()-11)*4,3,1,1,"Internet"))," "))</f>
        <v>PKT Velký Šanc</v>
      </c>
      <c r="Y45" s="395">
        <f ca="1">IF(N(U45)=0,9999,VLOOKUP(U45,Hraci!$A$1:$I$1500,8,0))</f>
        <v>127</v>
      </c>
      <c r="Z45" s="458">
        <f ca="1">IF(N(U45)=0,0,VLOOKUP(U45,Hraci!$A$1:$I$1500,9,0))</f>
        <v>22.126000000000001</v>
      </c>
      <c r="AA45" s="455" t="str">
        <f t="shared" ca="1" si="27"/>
        <v/>
      </c>
      <c r="AB45" s="456" t="str">
        <f ca="1">IF(N(AA45)&gt;0,VLOOKUP(AA45,Hraci!$A$1:$I$1500,2,0)," ")</f>
        <v xml:space="preserve"> </v>
      </c>
      <c r="AC45" s="457" t="str">
        <f ca="1">IF(N(AA45)&gt;0,VLOOKUP(AA45,Hraci!$A$1:$I$1500,3,0)," ")</f>
        <v xml:space="preserve"> </v>
      </c>
      <c r="AD45" s="457" t="str">
        <f ca="1">IF(N(AA45)&gt;0,VLOOKUP(AA45,Hraci!$A$1:$I$1500,5,0)," ")</f>
        <v xml:space="preserve"> </v>
      </c>
      <c r="AE45" s="395">
        <f ca="1">IF(N(AA45)=0,9999,VLOOKUP(AA45,Hraci!$A$1:$I$1500,8,0))</f>
        <v>9999</v>
      </c>
      <c r="AF45" s="458">
        <f ca="1">IF(N(AA45)=0,0,VLOOKUP(AA45,Hraci!$A$1:$I$1500,9,0))</f>
        <v>0</v>
      </c>
      <c r="AG45" s="459"/>
      <c r="AH45" s="465">
        <f ca="1">IF(TYPE(VLOOKUP(H45,Nasazení!$A$3:$E$130,5,0))&lt;4,VLOOKUP(H45,Nasazení!$A$3:$E$130,5,0),0)</f>
        <v>32</v>
      </c>
      <c r="AI45" s="460">
        <f ca="1">IF(N($AH45)&gt;0,VLOOKUP($AH45,Body!$A$4:$F$259,5,0),"")</f>
        <v>38.074437500000002</v>
      </c>
      <c r="AJ45" s="461">
        <f ca="1">IF(N($AH45)&gt;0,VLOOKUP($AH45,Body!$A$4:$F$259,6,0),"")</f>
        <v>0</v>
      </c>
      <c r="AK45" s="460">
        <f ca="1">IF(N($AH45)&gt;0,VLOOKUP($AH45,Body!$A$4:$F$259,2,0),"")</f>
        <v>1</v>
      </c>
      <c r="AL45" s="462" t="str">
        <f t="shared" ca="1" si="28"/>
        <v>35 PKT Velký Šanc - Horálek Jiří</v>
      </c>
      <c r="AM45" s="463">
        <f t="shared" ca="1" si="29"/>
        <v>71.878</v>
      </c>
      <c r="AN45" s="395">
        <f ca="1">IF(OR(TYPE(I45)&gt;1,TYPE(MATCH(I45,I46:I$139,0))&gt;1),0,MATCH(I45,I46:I$139,0))+IF(OR(TYPE(I45)&gt;1,TYPE(MATCH(I45,O$11:O$139,0))&gt;1),0,MATCH(I45,O$11:O$139,0))+IF(OR(TYPE(I45)&gt;1,TYPE(MATCH(I45,U$11:U$139,0))&gt;1),0,MATCH(I45,U$11:U$139,0))+IF(OR(TYPE(I45)&gt;1,TYPE(MATCH(I45,AA$11:AA$139,0))&gt;1),0,MATCH(I45,AA$11:AA$139,0))</f>
        <v>0</v>
      </c>
      <c r="AO45" s="395">
        <f ca="1">IF(OR(TYPE(O45)&gt;1,TYPE(MATCH(O45,I$11:I$139,0))&gt;1),0,MATCH(O45,I$11:I$139,0))+IF(OR(TYPE(O45)&gt;1,TYPE(MATCH(O45,O46:O$139,0))&gt;1),0,MATCH(O45,O46:O$139,0))+IF(OR(TYPE(O45)&gt;1,TYPE(MATCH(O45,U$11:U$139,0))&gt;1),0,MATCH(O45,U$11:U$139,0))+IF(OR(TYPE(O45)&gt;1,TYPE(MATCH(O45,AA$11:AA$139,0))&gt;1),0,MATCH(O45,AA$11:AA$139,0))</f>
        <v>0</v>
      </c>
      <c r="AP45" s="395">
        <f ca="1">IF(OR(TYPE(U45)&gt;1,TYPE(MATCH(U45,I$11:I$139,0))&gt;1),0,MATCH(U45,I$11:I$139,0))+IF(OR(TYPE(U45)&gt;1,TYPE(MATCH(U45,O$11:O$139,0))&gt;1),0,MATCH(U45,O$11:O$139,0))+IF(OR(TYPE(U45)&gt;1,TYPE(MATCH(U45,U46:U$139,0))&gt;1),0,MATCH(U45,U46:U$139,0))+IF(OR(TYPE(U45)&gt;1,TYPE(MATCH(U45,AA$11:AA$139,0))&gt;1),0,MATCH(U45,AA$11:AA$139,0))</f>
        <v>0</v>
      </c>
      <c r="AQ45" s="395">
        <f ca="1">IF(OR(TYPE(AA45)&gt;1,TYPE(MATCH(AA45,I$11:I$139,0))&gt;1),0,MATCH(AA45,I$11:I$139,0))+IF(OR(TYPE(AA45)&gt;1,TYPE(MATCH(AA45,O$11:O$139,0))&gt;1),0,MATCH(AA45,O$11:O$139,0))+IF(OR(TYPE(AA45)&gt;1,TYPE(MATCH(AA45,U$11:U$139,0))&gt;1),0,MATCH(U45,U$11:U$139,0))+IF(OR(TYPE(AA45)&gt;1,TYPE(MATCH(AA45,AA46:AA$139,0))&gt;1),0,MATCH(AA45,AA46:AA$139,0))</f>
        <v>0</v>
      </c>
      <c r="AR45" s="395">
        <f t="shared" ca="1" si="14"/>
        <v>0</v>
      </c>
      <c r="BF45" s="395">
        <f t="shared" si="15"/>
        <v>35</v>
      </c>
    </row>
    <row r="46" spans="1:58" ht="12.9">
      <c r="A46" s="387">
        <f t="shared" ca="1" si="16"/>
        <v>3</v>
      </c>
      <c r="B46" s="387">
        <f t="shared" ca="1" si="17"/>
        <v>1</v>
      </c>
      <c r="C46" s="387">
        <f t="shared" ca="1" si="18"/>
        <v>70.441000000000003</v>
      </c>
      <c r="D46" s="387">
        <f t="shared" ca="1" si="19"/>
        <v>569</v>
      </c>
      <c r="E46" s="387">
        <f t="shared" ca="1" si="20"/>
        <v>111</v>
      </c>
      <c r="F46" s="417" t="str">
        <f t="shared" ca="1" si="21"/>
        <v>01000000000000000000248020</v>
      </c>
      <c r="G46" s="453" t="b">
        <f t="shared" ca="1" si="22"/>
        <v>0</v>
      </c>
      <c r="H46" s="454">
        <f t="shared" si="23"/>
        <v>36</v>
      </c>
      <c r="I46" s="455">
        <f t="shared" ca="1" si="24"/>
        <v>24271</v>
      </c>
      <c r="J46" s="456" t="str">
        <f ca="1">IF(N(I46)&gt;0,VLOOKUP(I46,Hraci!$A$1:$I$1500,2,0),IF(TYPE(INDIRECT(ADDRESS(ROW() + $A$9-9 + (ROW()-11)*4,2,1,1,"Internet")))&gt;1,INDIRECT(ADDRESS(ROW() + $A$9-9 + (ROW()-11)*4,2,1,1,"Internet"))," "))</f>
        <v>Rolínek</v>
      </c>
      <c r="K46" s="457" t="str">
        <f ca="1">IF(N(I46)&gt;0,VLOOKUP(I46,Hraci!$A$1:$I$1500,3,0)," ")</f>
        <v>Michal</v>
      </c>
      <c r="L46" s="457" t="str">
        <f ca="1">IF(N(I46)&gt;0,VLOOKUP(I46,Hraci!$A$1:$I$1500,5,0),IF(TYPE(INDIRECT(ADDRESS(ROW() + $A$9-9 + (ROW()-11)*4,3,1,1,"Internet")))&gt;1,INDIRECT(ADDRESS(ROW() + $A$9-9 + (ROW()-11)*4,3,1,1,"Internet"))," "))</f>
        <v>HRODE KRUMSÍN</v>
      </c>
      <c r="M46" s="395">
        <f ca="1">IF(N(I46)=0,9999,VLOOKUP(I46,Hraci!$A$1:$I$1500,8,0))</f>
        <v>111</v>
      </c>
      <c r="N46" s="458">
        <f ca="1">IF(N(I46)=0,0,VLOOKUP(I46,Hraci!$A$1:$I$1500,9,0))</f>
        <v>37.438000000000002</v>
      </c>
      <c r="O46" s="455">
        <f t="shared" ca="1" si="25"/>
        <v>18063</v>
      </c>
      <c r="P46" s="456" t="str">
        <f ca="1">IF(N(O46)&gt;0,VLOOKUP(O46,Hraci!$A$1:$I$1500,2,0),IF(TYPE(INDIRECT(ADDRESS(ROW() + $A$9-8 + (ROW()-11)*4,2,1,1,"Internet")))&gt;1,INDIRECT(ADDRESS(ROW() + $A$9-8 + (ROW()-11)*4,2,1,1,"Internet"))," "))</f>
        <v>Louda</v>
      </c>
      <c r="Q46" s="457" t="str">
        <f ca="1">IF(N(O46)&gt;0,VLOOKUP(O46,Hraci!$A$1:$I$1500,3,0)," ")</f>
        <v>Vladimír</v>
      </c>
      <c r="R46" s="457" t="str">
        <f ca="1">IF(N(O46)&gt;0,VLOOKUP(O46,Hraci!$A$1:$I$1500,5,0),IF(TYPE(INDIRECT(ADDRESS(ROW() + $A$9-8 + (ROW()-11)*4,3,1,1,"Internet")))&gt;1,INDIRECT(ADDRESS(ROW() + $A$9-8 + (ROW()-11)*4,3,1,1,"Internet"))," "))</f>
        <v>PC Sokol Lipník</v>
      </c>
      <c r="S46" s="395">
        <f ca="1">IF(N(O46)=0,9999,VLOOKUP(O46,Hraci!$A$1:$I$1500,8,0))</f>
        <v>322</v>
      </c>
      <c r="T46" s="458">
        <f ca="1">IF(N(O46)=0,0,VLOOKUP(O46,Hraci!$A$1:$I$1500,9,0))</f>
        <v>9.7829999999999995</v>
      </c>
      <c r="U46" s="455">
        <f t="shared" ca="1" si="26"/>
        <v>98482</v>
      </c>
      <c r="V46" s="456" t="str">
        <f ca="1">IF(N(U46)&gt;0,VLOOKUP(U46,Hraci!$A$1:$I$1500,2,0),IF(TYPE(INDIRECT(ADDRESS(ROW() + $A$9-7 + (ROW()-11)*4,2,1,1,"Internet")))&gt;1,INDIRECT(ADDRESS(ROW() + $A$9-7 + (ROW()-11)*4,2,1,1,"Internet"))," "))</f>
        <v>Marcián</v>
      </c>
      <c r="W46" s="457" t="str">
        <f ca="1">IF(N(U46)&gt;0,VLOOKUP(U46,Hraci!$A$1:$I$1500,3,0)," ")</f>
        <v>Vladimír</v>
      </c>
      <c r="X46" s="457" t="str">
        <f ca="1">IF(N(U46)&gt;0,VLOOKUP(U46,Hraci!$A$1:$I$1500,5,0),IF(TYPE(INDIRECT(ADDRESS(ROW() + $A$9-7 + (ROW()-11)*4,3,1,1,"Internet")))&gt;1,INDIRECT(ADDRESS(ROW() + $A$9-7 + (ROW()-11)*4,3,1,1,"Internet"))," "))</f>
        <v>HRODE KRUMSÍN</v>
      </c>
      <c r="Y46" s="395">
        <f ca="1">IF(N(U46)=0,9999,VLOOKUP(U46,Hraci!$A$1:$I$1500,8,0))</f>
        <v>136</v>
      </c>
      <c r="Z46" s="458">
        <f ca="1">IF(N(U46)=0,0,VLOOKUP(U46,Hraci!$A$1:$I$1500,9,0))</f>
        <v>23.22</v>
      </c>
      <c r="AA46" s="455" t="str">
        <f t="shared" ca="1" si="27"/>
        <v/>
      </c>
      <c r="AB46" s="456" t="str">
        <f ca="1">IF(N(AA46)&gt;0,VLOOKUP(AA46,Hraci!$A$1:$I$1500,2,0)," ")</f>
        <v xml:space="preserve"> </v>
      </c>
      <c r="AC46" s="457" t="str">
        <f ca="1">IF(N(AA46)&gt;0,VLOOKUP(AA46,Hraci!$A$1:$I$1500,3,0)," ")</f>
        <v xml:space="preserve"> </v>
      </c>
      <c r="AD46" s="457" t="str">
        <f ca="1">IF(N(AA46)&gt;0,VLOOKUP(AA46,Hraci!$A$1:$I$1500,5,0)," ")</f>
        <v xml:space="preserve"> </v>
      </c>
      <c r="AE46" s="395">
        <f ca="1">IF(N(AA46)=0,9999,VLOOKUP(AA46,Hraci!$A$1:$I$1500,8,0))</f>
        <v>9999</v>
      </c>
      <c r="AF46" s="458">
        <f ca="1">IF(N(AA46)=0,0,VLOOKUP(AA46,Hraci!$A$1:$I$1500,9,0))</f>
        <v>0</v>
      </c>
      <c r="AG46" s="459"/>
      <c r="AH46" s="465">
        <v>48</v>
      </c>
      <c r="AI46" s="460">
        <f ca="1">IF(N($AH46)&gt;0,VLOOKUP($AH46,Body!$A$4:$F$259,5,0),"")</f>
        <v>19.037218750000001</v>
      </c>
      <c r="AJ46" s="461">
        <f ca="1">IF(N($AH46)&gt;0,VLOOKUP($AH46,Body!$A$4:$F$259,6,0),"")</f>
        <v>0</v>
      </c>
      <c r="AK46" s="460">
        <f ca="1">IF(N($AH46)&gt;0,VLOOKUP($AH46,Body!$A$4:$F$259,2,0),"")</f>
        <v>0.5</v>
      </c>
      <c r="AL46" s="462" t="str">
        <f t="shared" ca="1" si="28"/>
        <v>36 HRODE KRUMSÍN - Rolínek Michal</v>
      </c>
      <c r="AM46" s="463">
        <f t="shared" ca="1" si="29"/>
        <v>70.441000000000003</v>
      </c>
      <c r="AN46" s="395">
        <f ca="1">IF(OR(TYPE(I46)&gt;1,TYPE(MATCH(I46,I47:I$139,0))&gt;1),0,MATCH(I46,I47:I$139,0))+IF(OR(TYPE(I46)&gt;1,TYPE(MATCH(I46,O$11:O$139,0))&gt;1),0,MATCH(I46,O$11:O$139,0))+IF(OR(TYPE(I46)&gt;1,TYPE(MATCH(I46,U$11:U$139,0))&gt;1),0,MATCH(I46,U$11:U$139,0))+IF(OR(TYPE(I46)&gt;1,TYPE(MATCH(I46,AA$11:AA$139,0))&gt;1),0,MATCH(I46,AA$11:AA$139,0))</f>
        <v>0</v>
      </c>
      <c r="AO46" s="395">
        <f ca="1">IF(OR(TYPE(O46)&gt;1,TYPE(MATCH(O46,I$11:I$139,0))&gt;1),0,MATCH(O46,I$11:I$139,0))+IF(OR(TYPE(O46)&gt;1,TYPE(MATCH(O46,O47:O$139,0))&gt;1),0,MATCH(O46,O47:O$139,0))+IF(OR(TYPE(O46)&gt;1,TYPE(MATCH(O46,U$11:U$139,0))&gt;1),0,MATCH(O46,U$11:U$139,0))+IF(OR(TYPE(O46)&gt;1,TYPE(MATCH(O46,AA$11:AA$139,0))&gt;1),0,MATCH(O46,AA$11:AA$139,0))</f>
        <v>0</v>
      </c>
      <c r="AP46" s="395">
        <f ca="1">IF(OR(TYPE(U46)&gt;1,TYPE(MATCH(U46,I$11:I$139,0))&gt;1),0,MATCH(U46,I$11:I$139,0))+IF(OR(TYPE(U46)&gt;1,TYPE(MATCH(U46,O$11:O$139,0))&gt;1),0,MATCH(U46,O$11:O$139,0))+IF(OR(TYPE(U46)&gt;1,TYPE(MATCH(U46,U47:U$139,0))&gt;1),0,MATCH(U46,U47:U$139,0))+IF(OR(TYPE(U46)&gt;1,TYPE(MATCH(U46,AA$11:AA$139,0))&gt;1),0,MATCH(U46,AA$11:AA$139,0))</f>
        <v>0</v>
      </c>
      <c r="AQ46" s="395">
        <f ca="1">IF(OR(TYPE(AA46)&gt;1,TYPE(MATCH(AA46,I$11:I$139,0))&gt;1),0,MATCH(AA46,I$11:I$139,0))+IF(OR(TYPE(AA46)&gt;1,TYPE(MATCH(AA46,O$11:O$139,0))&gt;1),0,MATCH(AA46,O$11:O$139,0))+IF(OR(TYPE(AA46)&gt;1,TYPE(MATCH(AA46,U$11:U$139,0))&gt;1),0,MATCH(U46,U$11:U$139,0))+IF(OR(TYPE(AA46)&gt;1,TYPE(MATCH(AA46,AA47:AA$139,0))&gt;1),0,MATCH(AA46,AA47:AA$139,0))</f>
        <v>0</v>
      </c>
      <c r="AR46" s="395">
        <f t="shared" ca="1" si="14"/>
        <v>0</v>
      </c>
      <c r="BF46" s="395">
        <f t="shared" si="15"/>
        <v>36</v>
      </c>
    </row>
    <row r="47" spans="1:58" ht="12.9">
      <c r="A47" s="387">
        <f t="shared" ca="1" si="16"/>
        <v>3</v>
      </c>
      <c r="B47" s="387">
        <f t="shared" ca="1" si="17"/>
        <v>1</v>
      </c>
      <c r="C47" s="387">
        <f t="shared" ca="1" si="18"/>
        <v>68.532000000000011</v>
      </c>
      <c r="D47" s="387">
        <f t="shared" ca="1" si="19"/>
        <v>263</v>
      </c>
      <c r="E47" s="387">
        <f t="shared" ca="1" si="20"/>
        <v>47</v>
      </c>
      <c r="F47" s="417" t="str">
        <f t="shared" ca="1" si="21"/>
        <v>01000000000000000000493619</v>
      </c>
      <c r="G47" s="453" t="b">
        <f t="shared" ca="1" si="22"/>
        <v>0</v>
      </c>
      <c r="H47" s="454">
        <f t="shared" si="23"/>
        <v>37</v>
      </c>
      <c r="I47" s="455">
        <f t="shared" ca="1" si="24"/>
        <v>16010</v>
      </c>
      <c r="J47" s="456" t="str">
        <f ca="1">IF(N(I47)&gt;0,VLOOKUP(I47,Hraci!$A$1:$I$1500,2,0),IF(TYPE(INDIRECT(ADDRESS(ROW() + $A$9-9 + (ROW()-11)*4,2,1,1,"Internet")))&gt;1,INDIRECT(ADDRESS(ROW() + $A$9-9 + (ROW()-11)*4,2,1,1,"Internet"))," "))</f>
        <v>Šplechtová</v>
      </c>
      <c r="K47" s="457" t="str">
        <f ca="1">IF(N(I47)&gt;0,VLOOKUP(I47,Hraci!$A$1:$I$1500,3,0)," ")</f>
        <v>Dana</v>
      </c>
      <c r="L47" s="457" t="str">
        <f ca="1">IF(N(I47)&gt;0,VLOOKUP(I47,Hraci!$A$1:$I$1500,5,0),IF(TYPE(INDIRECT(ADDRESS(ROW() + $A$9-9 + (ROW()-11)*4,3,1,1,"Internet")))&gt;1,INDIRECT(ADDRESS(ROW() + $A$9-9 + (ROW()-11)*4,3,1,1,"Internet"))," "))</f>
        <v>PC Sokol Lipník</v>
      </c>
      <c r="M47" s="395">
        <f ca="1">IF(N(I47)=0,9999,VLOOKUP(I47,Hraci!$A$1:$I$1500,8,0))</f>
        <v>158</v>
      </c>
      <c r="N47" s="458">
        <f ca="1">IF(N(I47)=0,0,VLOOKUP(I47,Hraci!$A$1:$I$1500,9,0))</f>
        <v>14.156000000000001</v>
      </c>
      <c r="O47" s="455">
        <f t="shared" ca="1" si="25"/>
        <v>13044</v>
      </c>
      <c r="P47" s="456" t="str">
        <f ca="1">IF(N(O47)&gt;0,VLOOKUP(O47,Hraci!$A$1:$I$1500,2,0),IF(TYPE(INDIRECT(ADDRESS(ROW() + $A$9-8 + (ROW()-11)*4,2,1,1,"Internet")))&gt;1,INDIRECT(ADDRESS(ROW() + $A$9-8 + (ROW()-11)*4,2,1,1,"Internet"))," "))</f>
        <v>Fafková</v>
      </c>
      <c r="Q47" s="457" t="str">
        <f ca="1">IF(N(O47)&gt;0,VLOOKUP(O47,Hraci!$A$1:$I$1500,3,0)," ")</f>
        <v>Jana</v>
      </c>
      <c r="R47" s="457" t="str">
        <f ca="1">IF(N(O47)&gt;0,VLOOKUP(O47,Hraci!$A$1:$I$1500,5,0),IF(TYPE(INDIRECT(ADDRESS(ROW() + $A$9-8 + (ROW()-11)*4,3,1,1,"Internet")))&gt;1,INDIRECT(ADDRESS(ROW() + $A$9-8 + (ROW()-11)*4,3,1,1,"Internet"))," "))</f>
        <v>PC Sokol Lipník</v>
      </c>
      <c r="S47" s="395">
        <f ca="1">IF(N(O47)=0,9999,VLOOKUP(O47,Hraci!$A$1:$I$1500,8,0))</f>
        <v>58</v>
      </c>
      <c r="T47" s="458">
        <f ca="1">IF(N(O47)=0,0,VLOOKUP(O47,Hraci!$A$1:$I$1500,9,0))</f>
        <v>26.001000000000001</v>
      </c>
      <c r="U47" s="455">
        <f t="shared" ca="1" si="26"/>
        <v>21913</v>
      </c>
      <c r="V47" s="456" t="str">
        <f ca="1">IF(N(U47)&gt;0,VLOOKUP(U47,Hraci!$A$1:$I$1500,2,0),IF(TYPE(INDIRECT(ADDRESS(ROW() + $A$9-7 + (ROW()-11)*4,2,1,1,"Internet")))&gt;1,INDIRECT(ADDRESS(ROW() + $A$9-7 + (ROW()-11)*4,2,1,1,"Internet"))," "))</f>
        <v>Korešová</v>
      </c>
      <c r="W47" s="457" t="str">
        <f ca="1">IF(N(U47)&gt;0,VLOOKUP(U47,Hraci!$A$1:$I$1500,3,0)," ")</f>
        <v>Alena</v>
      </c>
      <c r="X47" s="457" t="str">
        <f ca="1">IF(N(U47)&gt;0,VLOOKUP(U47,Hraci!$A$1:$I$1500,5,0),IF(TYPE(INDIRECT(ADDRESS(ROW() + $A$9-7 + (ROW()-11)*4,3,1,1,"Internet")))&gt;1,INDIRECT(ADDRESS(ROW() + $A$9-7 + (ROW()-11)*4,3,1,1,"Internet"))," "))</f>
        <v>HAVAJ CB</v>
      </c>
      <c r="Y47" s="395">
        <f ca="1">IF(N(U47)=0,9999,VLOOKUP(U47,Hraci!$A$1:$I$1500,8,0))</f>
        <v>47</v>
      </c>
      <c r="Z47" s="458">
        <f ca="1">IF(N(U47)=0,0,VLOOKUP(U47,Hraci!$A$1:$I$1500,9,0))</f>
        <v>28.375</v>
      </c>
      <c r="AA47" s="455" t="str">
        <f t="shared" ca="1" si="27"/>
        <v/>
      </c>
      <c r="AB47" s="456" t="str">
        <f ca="1">IF(N(AA47)&gt;0,VLOOKUP(AA47,Hraci!$A$1:$I$1500,2,0)," ")</f>
        <v xml:space="preserve"> </v>
      </c>
      <c r="AC47" s="457" t="str">
        <f ca="1">IF(N(AA47)&gt;0,VLOOKUP(AA47,Hraci!$A$1:$I$1500,3,0)," ")</f>
        <v xml:space="preserve"> </v>
      </c>
      <c r="AD47" s="457" t="str">
        <f ca="1">IF(N(AA47)&gt;0,VLOOKUP(AA47,Hraci!$A$1:$I$1500,5,0)," ")</f>
        <v xml:space="preserve"> </v>
      </c>
      <c r="AE47" s="395">
        <f ca="1">IF(N(AA47)=0,9999,VLOOKUP(AA47,Hraci!$A$1:$I$1500,8,0))</f>
        <v>9999</v>
      </c>
      <c r="AF47" s="458">
        <f ca="1">IF(N(AA47)=0,0,VLOOKUP(AA47,Hraci!$A$1:$I$1500,9,0))</f>
        <v>0</v>
      </c>
      <c r="AG47" s="459"/>
      <c r="AH47" s="465">
        <f ca="1">IF(TYPE(VLOOKUP(H47,Nasazení!$A$3:$E$130,5,0))&lt;4,VLOOKUP(H47,Nasazení!$A$3:$E$130,5,0),0)</f>
        <v>32</v>
      </c>
      <c r="AI47" s="460">
        <f ca="1">IF(N($AH47)&gt;0,VLOOKUP($AH47,Body!$A$4:$F$259,5,0),"")</f>
        <v>38.074437500000002</v>
      </c>
      <c r="AJ47" s="461">
        <f ca="1">IF(N($AH47)&gt;0,VLOOKUP($AH47,Body!$A$4:$F$259,6,0),"")</f>
        <v>0</v>
      </c>
      <c r="AK47" s="460">
        <f ca="1">IF(N($AH47)&gt;0,VLOOKUP($AH47,Body!$A$4:$F$259,2,0),"")</f>
        <v>1</v>
      </c>
      <c r="AL47" s="462" t="str">
        <f t="shared" ca="1" si="28"/>
        <v>37 PC Sokol Lipník - Šplechtová Dana</v>
      </c>
      <c r="AM47" s="463">
        <f t="shared" ca="1" si="29"/>
        <v>68.532000000000011</v>
      </c>
      <c r="AN47" s="395">
        <f ca="1">IF(OR(TYPE(I47)&gt;1,TYPE(MATCH(I47,I48:I$139,0))&gt;1),0,MATCH(I47,I48:I$139,0))+IF(OR(TYPE(I47)&gt;1,TYPE(MATCH(I47,O$11:O$139,0))&gt;1),0,MATCH(I47,O$11:O$139,0))+IF(OR(TYPE(I47)&gt;1,TYPE(MATCH(I47,U$11:U$139,0))&gt;1),0,MATCH(I47,U$11:U$139,0))+IF(OR(TYPE(I47)&gt;1,TYPE(MATCH(I47,AA$11:AA$139,0))&gt;1),0,MATCH(I47,AA$11:AA$139,0))</f>
        <v>0</v>
      </c>
      <c r="AO47" s="395">
        <f ca="1">IF(OR(TYPE(O47)&gt;1,TYPE(MATCH(O47,I$11:I$139,0))&gt;1),0,MATCH(O47,I$11:I$139,0))+IF(OR(TYPE(O47)&gt;1,TYPE(MATCH(O47,O48:O$139,0))&gt;1),0,MATCH(O47,O48:O$139,0))+IF(OR(TYPE(O47)&gt;1,TYPE(MATCH(O47,U$11:U$139,0))&gt;1),0,MATCH(O47,U$11:U$139,0))+IF(OR(TYPE(O47)&gt;1,TYPE(MATCH(O47,AA$11:AA$139,0))&gt;1),0,MATCH(O47,AA$11:AA$139,0))</f>
        <v>0</v>
      </c>
      <c r="AP47" s="395">
        <f ca="1">IF(OR(TYPE(U47)&gt;1,TYPE(MATCH(U47,I$11:I$139,0))&gt;1),0,MATCH(U47,I$11:I$139,0))+IF(OR(TYPE(U47)&gt;1,TYPE(MATCH(U47,O$11:O$139,0))&gt;1),0,MATCH(U47,O$11:O$139,0))+IF(OR(TYPE(U47)&gt;1,TYPE(MATCH(U47,U48:U$139,0))&gt;1),0,MATCH(U47,U48:U$139,0))+IF(OR(TYPE(U47)&gt;1,TYPE(MATCH(U47,AA$11:AA$139,0))&gt;1),0,MATCH(U47,AA$11:AA$139,0))</f>
        <v>0</v>
      </c>
      <c r="AQ47" s="395">
        <f ca="1">IF(OR(TYPE(AA47)&gt;1,TYPE(MATCH(AA47,I$11:I$139,0))&gt;1),0,MATCH(AA47,I$11:I$139,0))+IF(OR(TYPE(AA47)&gt;1,TYPE(MATCH(AA47,O$11:O$139,0))&gt;1),0,MATCH(AA47,O$11:O$139,0))+IF(OR(TYPE(AA47)&gt;1,TYPE(MATCH(AA47,U$11:U$139,0))&gt;1),0,MATCH(U47,U$11:U$139,0))+IF(OR(TYPE(AA47)&gt;1,TYPE(MATCH(AA47,AA48:AA$139,0))&gt;1),0,MATCH(AA47,AA48:AA$139,0))</f>
        <v>0</v>
      </c>
      <c r="AR47" s="395">
        <f t="shared" ca="1" si="14"/>
        <v>0</v>
      </c>
      <c r="BF47" s="395">
        <f t="shared" si="15"/>
        <v>37</v>
      </c>
    </row>
    <row r="48" spans="1:58" ht="12.9">
      <c r="A48" s="387">
        <f t="shared" ca="1" si="16"/>
        <v>3</v>
      </c>
      <c r="B48" s="387">
        <f t="shared" ca="1" si="17"/>
        <v>1</v>
      </c>
      <c r="C48" s="387">
        <f t="shared" ca="1" si="18"/>
        <v>68.471000000000004</v>
      </c>
      <c r="D48" s="387">
        <f t="shared" ca="1" si="19"/>
        <v>389</v>
      </c>
      <c r="E48" s="387">
        <f t="shared" ca="1" si="20"/>
        <v>120</v>
      </c>
      <c r="F48" s="417" t="str">
        <f t="shared" ca="1" si="21"/>
        <v>01000000000000000000676393</v>
      </c>
      <c r="G48" s="453" t="b">
        <f t="shared" ca="1" si="22"/>
        <v>0</v>
      </c>
      <c r="H48" s="454">
        <f t="shared" si="23"/>
        <v>38</v>
      </c>
      <c r="I48" s="455">
        <f t="shared" ca="1" si="24"/>
        <v>20532</v>
      </c>
      <c r="J48" s="456" t="str">
        <f ca="1">IF(N(I48)&gt;0,VLOOKUP(I48,Hraci!$A$1:$I$1500,2,0),IF(TYPE(INDIRECT(ADDRESS(ROW() + $A$9-9 + (ROW()-11)*4,2,1,1,"Internet")))&gt;1,INDIRECT(ADDRESS(ROW() + $A$9-9 + (ROW()-11)*4,2,1,1,"Internet"))," "))</f>
        <v>Křížek</v>
      </c>
      <c r="K48" s="457" t="str">
        <f ca="1">IF(N(I48)&gt;0,VLOOKUP(I48,Hraci!$A$1:$I$1500,3,0)," ")</f>
        <v>Evžen</v>
      </c>
      <c r="L48" s="457" t="str">
        <f ca="1">IF(N(I48)&gt;0,VLOOKUP(I48,Hraci!$A$1:$I$1500,5,0),IF(TYPE(INDIRECT(ADDRESS(ROW() + $A$9-9 + (ROW()-11)*4,3,1,1,"Internet")))&gt;1,INDIRECT(ADDRESS(ROW() + $A$9-9 + (ROW()-11)*4,3,1,1,"Internet"))," "))</f>
        <v>UBU Únětice</v>
      </c>
      <c r="M48" s="395">
        <f ca="1">IF(N(I48)=0,9999,VLOOKUP(I48,Hraci!$A$1:$I$1500,8,0))</f>
        <v>120</v>
      </c>
      <c r="N48" s="458">
        <f ca="1">IF(N(I48)=0,0,VLOOKUP(I48,Hraci!$A$1:$I$1500,9,0))</f>
        <v>25.75</v>
      </c>
      <c r="O48" s="455">
        <f t="shared" ca="1" si="25"/>
        <v>20534</v>
      </c>
      <c r="P48" s="456" t="str">
        <f ca="1">IF(N(O48)&gt;0,VLOOKUP(O48,Hraci!$A$1:$I$1500,2,0),IF(TYPE(INDIRECT(ADDRESS(ROW() + $A$9-8 + (ROW()-11)*4,2,1,1,"Internet")))&gt;1,INDIRECT(ADDRESS(ROW() + $A$9-8 + (ROW()-11)*4,2,1,1,"Internet"))," "))</f>
        <v>Váňová</v>
      </c>
      <c r="Q48" s="457" t="str">
        <f ca="1">IF(N(O48)&gt;0,VLOOKUP(O48,Hraci!$A$1:$I$1500,3,0)," ")</f>
        <v>Věra</v>
      </c>
      <c r="R48" s="457" t="str">
        <f ca="1">IF(N(O48)&gt;0,VLOOKUP(O48,Hraci!$A$1:$I$1500,5,0),IF(TYPE(INDIRECT(ADDRESS(ROW() + $A$9-8 + (ROW()-11)*4,3,1,1,"Internet")))&gt;1,INDIRECT(ADDRESS(ROW() + $A$9-8 + (ROW()-11)*4,3,1,1,"Internet"))," "))</f>
        <v>SK Pétanque Řepy</v>
      </c>
      <c r="S48" s="395">
        <f ca="1">IF(N(O48)=0,9999,VLOOKUP(O48,Hraci!$A$1:$I$1500,8,0))</f>
        <v>132</v>
      </c>
      <c r="T48" s="458">
        <f ca="1">IF(N(O48)=0,0,VLOOKUP(O48,Hraci!$A$1:$I$1500,9,0))</f>
        <v>22.187999999999999</v>
      </c>
      <c r="U48" s="455">
        <f t="shared" ca="1" si="26"/>
        <v>22182</v>
      </c>
      <c r="V48" s="456" t="str">
        <f ca="1">IF(N(U48)&gt;0,VLOOKUP(U48,Hraci!$A$1:$I$1500,2,0),IF(TYPE(INDIRECT(ADDRESS(ROW() + $A$9-7 + (ROW()-11)*4,2,1,1,"Internet")))&gt;1,INDIRECT(ADDRESS(ROW() + $A$9-7 + (ROW()-11)*4,2,1,1,"Internet"))," "))</f>
        <v>Staneková</v>
      </c>
      <c r="W48" s="457" t="str">
        <f ca="1">IF(N(U48)&gt;0,VLOOKUP(U48,Hraci!$A$1:$I$1500,3,0)," ")</f>
        <v>Gabriela</v>
      </c>
      <c r="X48" s="457" t="str">
        <f ca="1">IF(N(U48)&gt;0,VLOOKUP(U48,Hraci!$A$1:$I$1500,5,0),IF(TYPE(INDIRECT(ADDRESS(ROW() + $A$9-7 + (ROW()-11)*4,3,1,1,"Internet")))&gt;1,INDIRECT(ADDRESS(ROW() + $A$9-7 + (ROW()-11)*4,3,1,1,"Internet"))," "))</f>
        <v>PC Damníkov</v>
      </c>
      <c r="Y48" s="395">
        <f ca="1">IF(N(U48)=0,9999,VLOOKUP(U48,Hraci!$A$1:$I$1500,8,0))</f>
        <v>137</v>
      </c>
      <c r="Z48" s="458">
        <f ca="1">IF(N(U48)=0,0,VLOOKUP(U48,Hraci!$A$1:$I$1500,9,0))</f>
        <v>20.533000000000001</v>
      </c>
      <c r="AA48" s="455" t="str">
        <f t="shared" ca="1" si="27"/>
        <v/>
      </c>
      <c r="AB48" s="456" t="str">
        <f ca="1">IF(N(AA48)&gt;0,VLOOKUP(AA48,Hraci!$A$1:$I$1500,2,0)," ")</f>
        <v xml:space="preserve"> </v>
      </c>
      <c r="AC48" s="457" t="str">
        <f ca="1">IF(N(AA48)&gt;0,VLOOKUP(AA48,Hraci!$A$1:$I$1500,3,0)," ")</f>
        <v xml:space="preserve"> </v>
      </c>
      <c r="AD48" s="457" t="str">
        <f ca="1">IF(N(AA48)&gt;0,VLOOKUP(AA48,Hraci!$A$1:$I$1500,5,0)," ")</f>
        <v xml:space="preserve"> </v>
      </c>
      <c r="AE48" s="395">
        <f ca="1">IF(N(AA48)=0,9999,VLOOKUP(AA48,Hraci!$A$1:$I$1500,8,0))</f>
        <v>9999</v>
      </c>
      <c r="AF48" s="458">
        <f ca="1">IF(N(AA48)=0,0,VLOOKUP(AA48,Hraci!$A$1:$I$1500,9,0))</f>
        <v>0</v>
      </c>
      <c r="AG48" s="459"/>
      <c r="AH48" s="465">
        <f ca="1">IF(TYPE(VLOOKUP(H48,Nasazení!$A$3:$E$130,5,0))&lt;4,VLOOKUP(H48,Nasazení!$A$3:$E$130,5,0),0)</f>
        <v>59</v>
      </c>
      <c r="AI48" s="460">
        <f ca="1">IF(N($AH48)&gt;0,VLOOKUP($AH48,Body!$A$4:$F$259,5,0),"")</f>
        <v>1</v>
      </c>
      <c r="AJ48" s="461">
        <f ca="1">IF(N($AH48)&gt;0,VLOOKUP($AH48,Body!$A$4:$F$259,6,0),"")</f>
        <v>0</v>
      </c>
      <c r="AK48" s="460">
        <f ca="1">IF(N($AH48)&gt;0,VLOOKUP($AH48,Body!$A$4:$F$259,2,0),"")</f>
        <v>0</v>
      </c>
      <c r="AL48" s="462" t="str">
        <f t="shared" ca="1" si="28"/>
        <v>38 UBU Únětice - Křížek Evžen</v>
      </c>
      <c r="AM48" s="463">
        <f t="shared" ca="1" si="29"/>
        <v>68.471000000000004</v>
      </c>
      <c r="AN48" s="395">
        <f ca="1">IF(OR(TYPE(I48)&gt;1,TYPE(MATCH(I48,I49:I$139,0))&gt;1),0,MATCH(I48,I49:I$139,0))+IF(OR(TYPE(I48)&gt;1,TYPE(MATCH(I48,O$11:O$139,0))&gt;1),0,MATCH(I48,O$11:O$139,0))+IF(OR(TYPE(I48)&gt;1,TYPE(MATCH(I48,U$11:U$139,0))&gt;1),0,MATCH(I48,U$11:U$139,0))+IF(OR(TYPE(I48)&gt;1,TYPE(MATCH(I48,AA$11:AA$139,0))&gt;1),0,MATCH(I48,AA$11:AA$139,0))</f>
        <v>0</v>
      </c>
      <c r="AO48" s="395">
        <f ca="1">IF(OR(TYPE(O48)&gt;1,TYPE(MATCH(O48,I$11:I$139,0))&gt;1),0,MATCH(O48,I$11:I$139,0))+IF(OR(TYPE(O48)&gt;1,TYPE(MATCH(O48,O49:O$139,0))&gt;1),0,MATCH(O48,O49:O$139,0))+IF(OR(TYPE(O48)&gt;1,TYPE(MATCH(O48,U$11:U$139,0))&gt;1),0,MATCH(O48,U$11:U$139,0))+IF(OR(TYPE(O48)&gt;1,TYPE(MATCH(O48,AA$11:AA$139,0))&gt;1),0,MATCH(O48,AA$11:AA$139,0))</f>
        <v>0</v>
      </c>
      <c r="AP48" s="395">
        <f ca="1">IF(OR(TYPE(U48)&gt;1,TYPE(MATCH(U48,I$11:I$139,0))&gt;1),0,MATCH(U48,I$11:I$139,0))+IF(OR(TYPE(U48)&gt;1,TYPE(MATCH(U48,O$11:O$139,0))&gt;1),0,MATCH(U48,O$11:O$139,0))+IF(OR(TYPE(U48)&gt;1,TYPE(MATCH(U48,U49:U$139,0))&gt;1),0,MATCH(U48,U49:U$139,0))+IF(OR(TYPE(U48)&gt;1,TYPE(MATCH(U48,AA$11:AA$139,0))&gt;1),0,MATCH(U48,AA$11:AA$139,0))</f>
        <v>0</v>
      </c>
      <c r="AQ48" s="395">
        <f ca="1">IF(OR(TYPE(AA48)&gt;1,TYPE(MATCH(AA48,I$11:I$139,0))&gt;1),0,MATCH(AA48,I$11:I$139,0))+IF(OR(TYPE(AA48)&gt;1,TYPE(MATCH(AA48,O$11:O$139,0))&gt;1),0,MATCH(AA48,O$11:O$139,0))+IF(OR(TYPE(AA48)&gt;1,TYPE(MATCH(AA48,U$11:U$139,0))&gt;1),0,MATCH(U48,U$11:U$139,0))+IF(OR(TYPE(AA48)&gt;1,TYPE(MATCH(AA48,AA49:AA$139,0))&gt;1),0,MATCH(AA48,AA49:AA$139,0))</f>
        <v>0</v>
      </c>
      <c r="AR48" s="395">
        <f t="shared" ca="1" si="14"/>
        <v>0</v>
      </c>
      <c r="BF48" s="395">
        <f t="shared" si="15"/>
        <v>38</v>
      </c>
    </row>
    <row r="49" spans="1:58" ht="12.9">
      <c r="A49" s="387">
        <f t="shared" ca="1" si="16"/>
        <v>3</v>
      </c>
      <c r="B49" s="387">
        <f t="shared" ca="1" si="17"/>
        <v>1</v>
      </c>
      <c r="C49" s="387">
        <f t="shared" ca="1" si="18"/>
        <v>68.097000000000008</v>
      </c>
      <c r="D49" s="387">
        <f t="shared" ca="1" si="19"/>
        <v>493</v>
      </c>
      <c r="E49" s="387">
        <f t="shared" ca="1" si="20"/>
        <v>133</v>
      </c>
      <c r="F49" s="417" t="str">
        <f t="shared" ca="1" si="21"/>
        <v>01000000000000000000972587</v>
      </c>
      <c r="G49" s="453" t="b">
        <f t="shared" ca="1" si="22"/>
        <v>0</v>
      </c>
      <c r="H49" s="454">
        <f t="shared" si="23"/>
        <v>39</v>
      </c>
      <c r="I49" s="455">
        <f t="shared" ca="1" si="24"/>
        <v>23248</v>
      </c>
      <c r="J49" s="456" t="str">
        <f ca="1">IF(N(I49)&gt;0,VLOOKUP(I49,Hraci!$A$1:$I$1500,2,0),IF(TYPE(INDIRECT(ADDRESS(ROW() + $A$9-9 + (ROW()-11)*4,2,1,1,"Internet")))&gt;1,INDIRECT(ADDRESS(ROW() + $A$9-9 + (ROW()-11)*4,2,1,1,"Internet"))," "))</f>
        <v>Mareček</v>
      </c>
      <c r="K49" s="457" t="str">
        <f ca="1">IF(N(I49)&gt;0,VLOOKUP(I49,Hraci!$A$1:$I$1500,3,0)," ")</f>
        <v>Pavel</v>
      </c>
      <c r="L49" s="457" t="str">
        <f ca="1">IF(N(I49)&gt;0,VLOOKUP(I49,Hraci!$A$1:$I$1500,5,0),IF(TYPE(INDIRECT(ADDRESS(ROW() + $A$9-9 + (ROW()-11)*4,3,1,1,"Internet")))&gt;1,INDIRECT(ADDRESS(ROW() + $A$9-9 + (ROW()-11)*4,3,1,1,"Internet"))," "))</f>
        <v>Orel Řečkovice</v>
      </c>
      <c r="M49" s="395">
        <f ca="1">IF(N(I49)=0,9999,VLOOKUP(I49,Hraci!$A$1:$I$1500,8,0))</f>
        <v>214</v>
      </c>
      <c r="N49" s="458">
        <f ca="1">IF(N(I49)=0,0,VLOOKUP(I49,Hraci!$A$1:$I$1500,9,0))</f>
        <v>13.625999999999999</v>
      </c>
      <c r="O49" s="455">
        <f t="shared" ca="1" si="25"/>
        <v>18131</v>
      </c>
      <c r="P49" s="456" t="str">
        <f ca="1">IF(N(O49)&gt;0,VLOOKUP(O49,Hraci!$A$1:$I$1500,2,0),IF(TYPE(INDIRECT(ADDRESS(ROW() + $A$9-8 + (ROW()-11)*4,2,1,1,"Internet")))&gt;1,INDIRECT(ADDRESS(ROW() + $A$9-8 + (ROW()-11)*4,2,1,1,"Internet"))," "))</f>
        <v>Marečková</v>
      </c>
      <c r="Q49" s="457" t="str">
        <f ca="1">IF(N(O49)&gt;0,VLOOKUP(O49,Hraci!$A$1:$I$1500,3,0)," ")</f>
        <v>Yvonne</v>
      </c>
      <c r="R49" s="457" t="str">
        <f ca="1">IF(N(O49)&gt;0,VLOOKUP(O49,Hraci!$A$1:$I$1500,5,0),IF(TYPE(INDIRECT(ADDRESS(ROW() + $A$9-8 + (ROW()-11)*4,3,1,1,"Internet")))&gt;1,INDIRECT(ADDRESS(ROW() + $A$9-8 + (ROW()-11)*4,3,1,1,"Internet"))," "))</f>
        <v>Orel Řečkovice</v>
      </c>
      <c r="S49" s="395">
        <f ca="1">IF(N(O49)=0,9999,VLOOKUP(O49,Hraci!$A$1:$I$1500,8,0))</f>
        <v>133</v>
      </c>
      <c r="T49" s="458">
        <f ca="1">IF(N(O49)=0,0,VLOOKUP(O49,Hraci!$A$1:$I$1500,9,0))</f>
        <v>26.907</v>
      </c>
      <c r="U49" s="455">
        <f t="shared" ca="1" si="26"/>
        <v>18001</v>
      </c>
      <c r="V49" s="456" t="str">
        <f ca="1">IF(N(U49)&gt;0,VLOOKUP(U49,Hraci!$A$1:$I$1500,2,0),IF(TYPE(INDIRECT(ADDRESS(ROW() + $A$9-7 + (ROW()-11)*4,2,1,1,"Internet")))&gt;1,INDIRECT(ADDRESS(ROW() + $A$9-7 + (ROW()-11)*4,2,1,1,"Internet"))," "))</f>
        <v>Matuška</v>
      </c>
      <c r="W49" s="457" t="str">
        <f ca="1">IF(N(U49)&gt;0,VLOOKUP(U49,Hraci!$A$1:$I$1500,3,0)," ")</f>
        <v>Vladimír</v>
      </c>
      <c r="X49" s="457" t="str">
        <f ca="1">IF(N(U49)&gt;0,VLOOKUP(U49,Hraci!$A$1:$I$1500,5,0),IF(TYPE(INDIRECT(ADDRESS(ROW() + $A$9-7 + (ROW()-11)*4,3,1,1,"Internet")))&gt;1,INDIRECT(ADDRESS(ROW() + $A$9-7 + (ROW()-11)*4,3,1,1,"Internet"))," "))</f>
        <v>Orel Řečkovice</v>
      </c>
      <c r="Y49" s="395">
        <f ca="1">IF(N(U49)=0,9999,VLOOKUP(U49,Hraci!$A$1:$I$1500,8,0))</f>
        <v>146</v>
      </c>
      <c r="Z49" s="458">
        <f ca="1">IF(N(U49)=0,0,VLOOKUP(U49,Hraci!$A$1:$I$1500,9,0))</f>
        <v>27.564</v>
      </c>
      <c r="AA49" s="455" t="str">
        <f t="shared" ca="1" si="27"/>
        <v/>
      </c>
      <c r="AB49" s="456" t="str">
        <f ca="1">IF(N(AA49)&gt;0,VLOOKUP(AA49,Hraci!$A$1:$I$1500,2,0)," ")</f>
        <v xml:space="preserve"> </v>
      </c>
      <c r="AC49" s="457" t="str">
        <f ca="1">IF(N(AA49)&gt;0,VLOOKUP(AA49,Hraci!$A$1:$I$1500,3,0)," ")</f>
        <v xml:space="preserve"> </v>
      </c>
      <c r="AD49" s="457" t="str">
        <f ca="1">IF(N(AA49)&gt;0,VLOOKUP(AA49,Hraci!$A$1:$I$1500,5,0)," ")</f>
        <v xml:space="preserve"> </v>
      </c>
      <c r="AE49" s="395">
        <f ca="1">IF(N(AA49)=0,9999,VLOOKUP(AA49,Hraci!$A$1:$I$1500,8,0))</f>
        <v>9999</v>
      </c>
      <c r="AF49" s="458">
        <f ca="1">IF(N(AA49)=0,0,VLOOKUP(AA49,Hraci!$A$1:$I$1500,9,0))</f>
        <v>0</v>
      </c>
      <c r="AG49" s="459"/>
      <c r="AH49" s="465">
        <v>48</v>
      </c>
      <c r="AI49" s="460">
        <f ca="1">IF(N($AH49)&gt;0,VLOOKUP($AH49,Body!$A$4:$F$259,5,0),"")</f>
        <v>19.037218750000001</v>
      </c>
      <c r="AJ49" s="461">
        <f ca="1">IF(N($AH49)&gt;0,VLOOKUP($AH49,Body!$A$4:$F$259,6,0),"")</f>
        <v>0</v>
      </c>
      <c r="AK49" s="460">
        <f ca="1">IF(N($AH49)&gt;0,VLOOKUP($AH49,Body!$A$4:$F$259,2,0),"")</f>
        <v>0.5</v>
      </c>
      <c r="AL49" s="462" t="str">
        <f t="shared" ca="1" si="28"/>
        <v>39 Orel Řečkovice - Mareček Pavel</v>
      </c>
      <c r="AM49" s="463">
        <f t="shared" ca="1" si="29"/>
        <v>68.097000000000008</v>
      </c>
      <c r="AN49" s="395">
        <f ca="1">IF(OR(TYPE(I49)&gt;1,TYPE(MATCH(I49,I50:I$139,0))&gt;1),0,MATCH(I49,I50:I$139,0))+IF(OR(TYPE(I49)&gt;1,TYPE(MATCH(I49,O$11:O$139,0))&gt;1),0,MATCH(I49,O$11:O$139,0))+IF(OR(TYPE(I49)&gt;1,TYPE(MATCH(I49,U$11:U$139,0))&gt;1),0,MATCH(I49,U$11:U$139,0))+IF(OR(TYPE(I49)&gt;1,TYPE(MATCH(I49,AA$11:AA$139,0))&gt;1),0,MATCH(I49,AA$11:AA$139,0))</f>
        <v>0</v>
      </c>
      <c r="AO49" s="395">
        <f ca="1">IF(OR(TYPE(O49)&gt;1,TYPE(MATCH(O49,I$11:I$139,0))&gt;1),0,MATCH(O49,I$11:I$139,0))+IF(OR(TYPE(O49)&gt;1,TYPE(MATCH(O49,O50:O$139,0))&gt;1),0,MATCH(O49,O50:O$139,0))+IF(OR(TYPE(O49)&gt;1,TYPE(MATCH(O49,U$11:U$139,0))&gt;1),0,MATCH(O49,U$11:U$139,0))+IF(OR(TYPE(O49)&gt;1,TYPE(MATCH(O49,AA$11:AA$139,0))&gt;1),0,MATCH(O49,AA$11:AA$139,0))</f>
        <v>0</v>
      </c>
      <c r="AP49" s="395">
        <f ca="1">IF(OR(TYPE(U49)&gt;1,TYPE(MATCH(U49,I$11:I$139,0))&gt;1),0,MATCH(U49,I$11:I$139,0))+IF(OR(TYPE(U49)&gt;1,TYPE(MATCH(U49,O$11:O$139,0))&gt;1),0,MATCH(U49,O$11:O$139,0))+IF(OR(TYPE(U49)&gt;1,TYPE(MATCH(U49,U50:U$139,0))&gt;1),0,MATCH(U49,U50:U$139,0))+IF(OR(TYPE(U49)&gt;1,TYPE(MATCH(U49,AA$11:AA$139,0))&gt;1),0,MATCH(U49,AA$11:AA$139,0))</f>
        <v>0</v>
      </c>
      <c r="AQ49" s="395">
        <f ca="1">IF(OR(TYPE(AA49)&gt;1,TYPE(MATCH(AA49,I$11:I$139,0))&gt;1),0,MATCH(AA49,I$11:I$139,0))+IF(OR(TYPE(AA49)&gt;1,TYPE(MATCH(AA49,O$11:O$139,0))&gt;1),0,MATCH(AA49,O$11:O$139,0))+IF(OR(TYPE(AA49)&gt;1,TYPE(MATCH(AA49,U$11:U$139,0))&gt;1),0,MATCH(U49,U$11:U$139,0))+IF(OR(TYPE(AA49)&gt;1,TYPE(MATCH(AA49,AA50:AA$139,0))&gt;1),0,MATCH(AA49,AA50:AA$139,0))</f>
        <v>0</v>
      </c>
      <c r="AR49" s="395">
        <f t="shared" ca="1" si="14"/>
        <v>0</v>
      </c>
      <c r="BF49" s="395">
        <f t="shared" si="15"/>
        <v>39</v>
      </c>
    </row>
    <row r="50" spans="1:58" ht="12.9">
      <c r="A50" s="387">
        <f t="shared" ca="1" si="16"/>
        <v>3</v>
      </c>
      <c r="B50" s="387">
        <f t="shared" ca="1" si="17"/>
        <v>1</v>
      </c>
      <c r="C50" s="387">
        <f t="shared" ca="1" si="18"/>
        <v>65.784000000000006</v>
      </c>
      <c r="D50" s="387">
        <f t="shared" ca="1" si="19"/>
        <v>444</v>
      </c>
      <c r="E50" s="387">
        <f t="shared" ca="1" si="20"/>
        <v>101</v>
      </c>
      <c r="F50" s="417" t="str">
        <f t="shared" ca="1" si="21"/>
        <v>01000000000000000000843356</v>
      </c>
      <c r="G50" s="453" t="b">
        <f t="shared" ca="1" si="22"/>
        <v>0</v>
      </c>
      <c r="H50" s="454">
        <f t="shared" si="23"/>
        <v>40</v>
      </c>
      <c r="I50" s="455">
        <f t="shared" ca="1" si="24"/>
        <v>20527</v>
      </c>
      <c r="J50" s="456" t="str">
        <f ca="1">IF(N(I50)&gt;0,VLOOKUP(I50,Hraci!$A$1:$I$1500,2,0),IF(TYPE(INDIRECT(ADDRESS(ROW() + $A$9-9 + (ROW()-11)*4,2,1,1,"Internet")))&gt;1,INDIRECT(ADDRESS(ROW() + $A$9-9 + (ROW()-11)*4,2,1,1,"Internet"))," "))</f>
        <v>Šíma</v>
      </c>
      <c r="K50" s="457" t="str">
        <f ca="1">IF(N(I50)&gt;0,VLOOKUP(I50,Hraci!$A$1:$I$1500,3,0)," ")</f>
        <v>Jaroslav</v>
      </c>
      <c r="L50" s="457" t="str">
        <f ca="1">IF(N(I50)&gt;0,VLOOKUP(I50,Hraci!$A$1:$I$1500,5,0),IF(TYPE(INDIRECT(ADDRESS(ROW() + $A$9-9 + (ROW()-11)*4,3,1,1,"Internet")))&gt;1,INDIRECT(ADDRESS(ROW() + $A$9-9 + (ROW()-11)*4,3,1,1,"Internet"))," "))</f>
        <v>PC Mimo Done</v>
      </c>
      <c r="M50" s="395">
        <f ca="1">IF(N(I50)=0,9999,VLOOKUP(I50,Hraci!$A$1:$I$1500,8,0))</f>
        <v>101</v>
      </c>
      <c r="N50" s="458">
        <f ca="1">IF(N(I50)=0,0,VLOOKUP(I50,Hraci!$A$1:$I$1500,9,0))</f>
        <v>26.562999999999999</v>
      </c>
      <c r="O50" s="455">
        <f t="shared" ca="1" si="25"/>
        <v>20513</v>
      </c>
      <c r="P50" s="456" t="str">
        <f ca="1">IF(N(O50)&gt;0,VLOOKUP(O50,Hraci!$A$1:$I$1500,2,0),IF(TYPE(INDIRECT(ADDRESS(ROW() + $A$9-8 + (ROW()-11)*4,2,1,1,"Internet")))&gt;1,INDIRECT(ADDRESS(ROW() + $A$9-8 + (ROW()-11)*4,2,1,1,"Internet"))," "))</f>
        <v>Hochmann</v>
      </c>
      <c r="Q50" s="457" t="str">
        <f ca="1">IF(N(O50)&gt;0,VLOOKUP(O50,Hraci!$A$1:$I$1500,3,0)," ")</f>
        <v>Lukáš</v>
      </c>
      <c r="R50" s="457" t="str">
        <f ca="1">IF(N(O50)&gt;0,VLOOKUP(O50,Hraci!$A$1:$I$1500,5,0),IF(TYPE(INDIRECT(ADDRESS(ROW() + $A$9-8 + (ROW()-11)*4,3,1,1,"Internet")))&gt;1,INDIRECT(ADDRESS(ROW() + $A$9-8 + (ROW()-11)*4,3,1,1,"Internet"))," "))</f>
        <v>PC Sokol PP Hr. Králové</v>
      </c>
      <c r="S50" s="395">
        <f ca="1">IF(N(O50)=0,9999,VLOOKUP(O50,Hraci!$A$1:$I$1500,8,0))</f>
        <v>192</v>
      </c>
      <c r="T50" s="458">
        <f ca="1">IF(N(O50)=0,0,VLOOKUP(O50,Hraci!$A$1:$I$1500,9,0))</f>
        <v>20.22</v>
      </c>
      <c r="U50" s="455">
        <f t="shared" ca="1" si="26"/>
        <v>22179</v>
      </c>
      <c r="V50" s="456" t="str">
        <f ca="1">IF(N(U50)&gt;0,VLOOKUP(U50,Hraci!$A$1:$I$1500,2,0),IF(TYPE(INDIRECT(ADDRESS(ROW() + $A$9-7 + (ROW()-11)*4,2,1,1,"Internet")))&gt;1,INDIRECT(ADDRESS(ROW() + $A$9-7 + (ROW()-11)*4,2,1,1,"Internet"))," "))</f>
        <v>Hlucho-Horvát</v>
      </c>
      <c r="W50" s="457" t="str">
        <f ca="1">IF(N(U50)&gt;0,VLOOKUP(U50,Hraci!$A$1:$I$1500,3,0)," ")</f>
        <v>Ladislav</v>
      </c>
      <c r="X50" s="457" t="str">
        <f ca="1">IF(N(U50)&gt;0,VLOOKUP(U50,Hraci!$A$1:$I$1500,5,0),IF(TYPE(INDIRECT(ADDRESS(ROW() + $A$9-7 + (ROW()-11)*4,3,1,1,"Internet")))&gt;1,INDIRECT(ADDRESS(ROW() + $A$9-7 + (ROW()-11)*4,3,1,1,"Internet"))," "))</f>
        <v>PC Mimo Done</v>
      </c>
      <c r="Y50" s="395">
        <f ca="1">IF(N(U50)=0,9999,VLOOKUP(U50,Hraci!$A$1:$I$1500,8,0))</f>
        <v>151</v>
      </c>
      <c r="Z50" s="458">
        <f ca="1">IF(N(U50)=0,0,VLOOKUP(U50,Hraci!$A$1:$I$1500,9,0))</f>
        <v>19.001000000000001</v>
      </c>
      <c r="AA50" s="455" t="str">
        <f t="shared" ca="1" si="27"/>
        <v/>
      </c>
      <c r="AB50" s="456" t="str">
        <f ca="1">IF(N(AA50)&gt;0,VLOOKUP(AA50,Hraci!$A$1:$I$1500,2,0)," ")</f>
        <v xml:space="preserve"> </v>
      </c>
      <c r="AC50" s="457" t="str">
        <f ca="1">IF(N(AA50)&gt;0,VLOOKUP(AA50,Hraci!$A$1:$I$1500,3,0)," ")</f>
        <v xml:space="preserve"> </v>
      </c>
      <c r="AD50" s="457" t="str">
        <f ca="1">IF(N(AA50)&gt;0,VLOOKUP(AA50,Hraci!$A$1:$I$1500,5,0)," ")</f>
        <v xml:space="preserve"> </v>
      </c>
      <c r="AE50" s="395">
        <f ca="1">IF(N(AA50)=0,9999,VLOOKUP(AA50,Hraci!$A$1:$I$1500,8,0))</f>
        <v>9999</v>
      </c>
      <c r="AF50" s="458">
        <f ca="1">IF(N(AA50)=0,0,VLOOKUP(AA50,Hraci!$A$1:$I$1500,9,0))</f>
        <v>0</v>
      </c>
      <c r="AG50" s="459"/>
      <c r="AH50" s="465">
        <f ca="1">IF(TYPE(VLOOKUP(H50,Nasazení!$A$3:$E$130,5,0))&lt;4,VLOOKUP(H50,Nasazení!$A$3:$E$130,5,0),0)</f>
        <v>32</v>
      </c>
      <c r="AI50" s="460">
        <f ca="1">IF(N($AH50)&gt;0,VLOOKUP($AH50,Body!$A$4:$F$259,5,0),"")</f>
        <v>38.074437500000002</v>
      </c>
      <c r="AJ50" s="461">
        <f ca="1">IF(N($AH50)&gt;0,VLOOKUP($AH50,Body!$A$4:$F$259,6,0),"")</f>
        <v>0</v>
      </c>
      <c r="AK50" s="460">
        <f ca="1">IF(N($AH50)&gt;0,VLOOKUP($AH50,Body!$A$4:$F$259,2,0),"")</f>
        <v>1</v>
      </c>
      <c r="AL50" s="462" t="str">
        <f t="shared" ca="1" si="28"/>
        <v>40 PC Mimo Done - Šíma Jaroslav</v>
      </c>
      <c r="AM50" s="463">
        <f t="shared" ca="1" si="29"/>
        <v>65.784000000000006</v>
      </c>
      <c r="AN50" s="395">
        <f ca="1">IF(OR(TYPE(I50)&gt;1,TYPE(MATCH(I50,I51:I$139,0))&gt;1),0,MATCH(I50,I51:I$139,0))+IF(OR(TYPE(I50)&gt;1,TYPE(MATCH(I50,O$11:O$139,0))&gt;1),0,MATCH(I50,O$11:O$139,0))+IF(OR(TYPE(I50)&gt;1,TYPE(MATCH(I50,U$11:U$139,0))&gt;1),0,MATCH(I50,U$11:U$139,0))+IF(OR(TYPE(I50)&gt;1,TYPE(MATCH(I50,AA$11:AA$139,0))&gt;1),0,MATCH(I50,AA$11:AA$139,0))</f>
        <v>0</v>
      </c>
      <c r="AO50" s="395">
        <f ca="1">IF(OR(TYPE(O50)&gt;1,TYPE(MATCH(O50,I$11:I$139,0))&gt;1),0,MATCH(O50,I$11:I$139,0))+IF(OR(TYPE(O50)&gt;1,TYPE(MATCH(O50,O51:O$139,0))&gt;1),0,MATCH(O50,O51:O$139,0))+IF(OR(TYPE(O50)&gt;1,TYPE(MATCH(O50,U$11:U$139,0))&gt;1),0,MATCH(O50,U$11:U$139,0))+IF(OR(TYPE(O50)&gt;1,TYPE(MATCH(O50,AA$11:AA$139,0))&gt;1),0,MATCH(O50,AA$11:AA$139,0))</f>
        <v>0</v>
      </c>
      <c r="AP50" s="395">
        <f ca="1">IF(OR(TYPE(U50)&gt;1,TYPE(MATCH(U50,I$11:I$139,0))&gt;1),0,MATCH(U50,I$11:I$139,0))+IF(OR(TYPE(U50)&gt;1,TYPE(MATCH(U50,O$11:O$139,0))&gt;1),0,MATCH(U50,O$11:O$139,0))+IF(OR(TYPE(U50)&gt;1,TYPE(MATCH(U50,U51:U$139,0))&gt;1),0,MATCH(U50,U51:U$139,0))+IF(OR(TYPE(U50)&gt;1,TYPE(MATCH(U50,AA$11:AA$139,0))&gt;1),0,MATCH(U50,AA$11:AA$139,0))</f>
        <v>0</v>
      </c>
      <c r="AQ50" s="395">
        <f ca="1">IF(OR(TYPE(AA50)&gt;1,TYPE(MATCH(AA50,I$11:I$139,0))&gt;1),0,MATCH(AA50,I$11:I$139,0))+IF(OR(TYPE(AA50)&gt;1,TYPE(MATCH(AA50,O$11:O$139,0))&gt;1),0,MATCH(AA50,O$11:O$139,0))+IF(OR(TYPE(AA50)&gt;1,TYPE(MATCH(AA50,U$11:U$139,0))&gt;1),0,MATCH(U50,U$11:U$139,0))+IF(OR(TYPE(AA50)&gt;1,TYPE(MATCH(AA50,AA51:AA$139,0))&gt;1),0,MATCH(AA50,AA51:AA$139,0))</f>
        <v>0</v>
      </c>
      <c r="AR50" s="395">
        <f t="shared" ca="1" si="14"/>
        <v>0</v>
      </c>
      <c r="BF50" s="395">
        <f t="shared" si="15"/>
        <v>40</v>
      </c>
    </row>
    <row r="51" spans="1:58" ht="12.9">
      <c r="A51" s="387">
        <f t="shared" ca="1" si="16"/>
        <v>3</v>
      </c>
      <c r="B51" s="387">
        <f t="shared" ca="1" si="17"/>
        <v>1</v>
      </c>
      <c r="C51" s="387">
        <f t="shared" ca="1" si="18"/>
        <v>64.314000000000007</v>
      </c>
      <c r="D51" s="387">
        <f t="shared" ca="1" si="19"/>
        <v>483</v>
      </c>
      <c r="E51" s="387">
        <f t="shared" ca="1" si="20"/>
        <v>122</v>
      </c>
      <c r="F51" s="417" t="str">
        <f t="shared" ca="1" si="21"/>
        <v>01000000000000000000870839</v>
      </c>
      <c r="G51" s="453" t="b">
        <f t="shared" ca="1" si="22"/>
        <v>0</v>
      </c>
      <c r="H51" s="454">
        <f t="shared" si="23"/>
        <v>41</v>
      </c>
      <c r="I51" s="455">
        <f t="shared" ca="1" si="24"/>
        <v>10012</v>
      </c>
      <c r="J51" s="456" t="str">
        <f ca="1">IF(N(I51)&gt;0,VLOOKUP(I51,Hraci!$A$1:$I$1500,2,0),IF(TYPE(INDIRECT(ADDRESS(ROW() + $A$9-9 + (ROW()-11)*4,2,1,1,"Internet")))&gt;1,INDIRECT(ADDRESS(ROW() + $A$9-9 + (ROW()-11)*4,2,1,1,"Internet"))," "))</f>
        <v>Melgr</v>
      </c>
      <c r="K51" s="457" t="str">
        <f ca="1">IF(N(I51)&gt;0,VLOOKUP(I51,Hraci!$A$1:$I$1500,3,0)," ")</f>
        <v>Jan</v>
      </c>
      <c r="L51" s="457" t="str">
        <f ca="1">IF(N(I51)&gt;0,VLOOKUP(I51,Hraci!$A$1:$I$1500,5,0),IF(TYPE(INDIRECT(ADDRESS(ROW() + $A$9-9 + (ROW()-11)*4,3,1,1,"Internet")))&gt;1,INDIRECT(ADDRESS(ROW() + $A$9-9 + (ROW()-11)*4,3,1,1,"Internet"))," "))</f>
        <v>PC Sokol PP Hr. Králové</v>
      </c>
      <c r="M51" s="395">
        <f ca="1">IF(N(I51)=0,9999,VLOOKUP(I51,Hraci!$A$1:$I$1500,8,0))</f>
        <v>122</v>
      </c>
      <c r="N51" s="458">
        <f ca="1">IF(N(I51)=0,0,VLOOKUP(I51,Hraci!$A$1:$I$1500,9,0))</f>
        <v>29</v>
      </c>
      <c r="O51" s="455">
        <f t="shared" ca="1" si="25"/>
        <v>22111</v>
      </c>
      <c r="P51" s="456" t="str">
        <f ca="1">IF(N(O51)&gt;0,VLOOKUP(O51,Hraci!$A$1:$I$1500,2,0),IF(TYPE(INDIRECT(ADDRESS(ROW() + $A$9-8 + (ROW()-11)*4,2,1,1,"Internet")))&gt;1,INDIRECT(ADDRESS(ROW() + $A$9-8 + (ROW()-11)*4,2,1,1,"Internet"))," "))</f>
        <v>Kopečný</v>
      </c>
      <c r="Q51" s="457" t="str">
        <f ca="1">IF(N(O51)&gt;0,VLOOKUP(O51,Hraci!$A$1:$I$1500,3,0)," ")</f>
        <v>David</v>
      </c>
      <c r="R51" s="457" t="str">
        <f ca="1">IF(N(O51)&gt;0,VLOOKUP(O51,Hraci!$A$1:$I$1500,5,0),IF(TYPE(INDIRECT(ADDRESS(ROW() + $A$9-8 + (ROW()-11)*4,3,1,1,"Internet")))&gt;1,INDIRECT(ADDRESS(ROW() + $A$9-8 + (ROW()-11)*4,3,1,1,"Internet"))," "))</f>
        <v>PC Sokol PP Hr. Králové</v>
      </c>
      <c r="S51" s="395">
        <f ca="1">IF(N(O51)=0,9999,VLOOKUP(O51,Hraci!$A$1:$I$1500,8,0))</f>
        <v>152</v>
      </c>
      <c r="T51" s="458">
        <f ca="1">IF(N(O51)=0,0,VLOOKUP(O51,Hraci!$A$1:$I$1500,9,0))</f>
        <v>22.469000000000001</v>
      </c>
      <c r="U51" s="455">
        <f t="shared" ca="1" si="26"/>
        <v>20511</v>
      </c>
      <c r="V51" s="456" t="str">
        <f ca="1">IF(N(U51)&gt;0,VLOOKUP(U51,Hraci!$A$1:$I$1500,2,0),IF(TYPE(INDIRECT(ADDRESS(ROW() + $A$9-7 + (ROW()-11)*4,2,1,1,"Internet")))&gt;1,INDIRECT(ADDRESS(ROW() + $A$9-7 + (ROW()-11)*4,2,1,1,"Internet"))," "))</f>
        <v>Malina</v>
      </c>
      <c r="W51" s="457" t="str">
        <f ca="1">IF(N(U51)&gt;0,VLOOKUP(U51,Hraci!$A$1:$I$1500,3,0)," ")</f>
        <v>František</v>
      </c>
      <c r="X51" s="457" t="str">
        <f ca="1">IF(N(U51)&gt;0,VLOOKUP(U51,Hraci!$A$1:$I$1500,5,0),IF(TYPE(INDIRECT(ADDRESS(ROW() + $A$9-7 + (ROW()-11)*4,3,1,1,"Internet")))&gt;1,INDIRECT(ADDRESS(ROW() + $A$9-7 + (ROW()-11)*4,3,1,1,"Internet"))," "))</f>
        <v>PC Sokol PP Hr. Králové</v>
      </c>
      <c r="Y51" s="395">
        <f ca="1">IF(N(U51)=0,9999,VLOOKUP(U51,Hraci!$A$1:$I$1500,8,0))</f>
        <v>209</v>
      </c>
      <c r="Z51" s="458">
        <f ca="1">IF(N(U51)=0,0,VLOOKUP(U51,Hraci!$A$1:$I$1500,9,0))</f>
        <v>12.845000000000001</v>
      </c>
      <c r="AA51" s="455" t="str">
        <f t="shared" ca="1" si="27"/>
        <v/>
      </c>
      <c r="AB51" s="456" t="str">
        <f ca="1">IF(N(AA51)&gt;0,VLOOKUP(AA51,Hraci!$A$1:$I$1500,2,0)," ")</f>
        <v xml:space="preserve"> </v>
      </c>
      <c r="AC51" s="457" t="str">
        <f ca="1">IF(N(AA51)&gt;0,VLOOKUP(AA51,Hraci!$A$1:$I$1500,3,0)," ")</f>
        <v xml:space="preserve"> </v>
      </c>
      <c r="AD51" s="457" t="str">
        <f ca="1">IF(N(AA51)&gt;0,VLOOKUP(AA51,Hraci!$A$1:$I$1500,5,0)," ")</f>
        <v xml:space="preserve"> </v>
      </c>
      <c r="AE51" s="395">
        <f ca="1">IF(N(AA51)=0,9999,VLOOKUP(AA51,Hraci!$A$1:$I$1500,8,0))</f>
        <v>9999</v>
      </c>
      <c r="AF51" s="458">
        <f ca="1">IF(N(AA51)=0,0,VLOOKUP(AA51,Hraci!$A$1:$I$1500,9,0))</f>
        <v>0</v>
      </c>
      <c r="AG51" s="459"/>
      <c r="AH51" s="465">
        <f ca="1">IF(TYPE(VLOOKUP(H51,Nasazení!$A$3:$E$130,5,0))&lt;4,VLOOKUP(H51,Nasazení!$A$3:$E$130,5,0),0)</f>
        <v>16</v>
      </c>
      <c r="AI51" s="460">
        <f ca="1">IF(N($AH51)&gt;0,VLOOKUP($AH51,Body!$A$4:$F$259,5,0),"")</f>
        <v>76.148875000000004</v>
      </c>
      <c r="AJ51" s="461">
        <f ca="1">IF(N($AH51)&gt;0,VLOOKUP($AH51,Body!$A$4:$F$259,6,0),"")</f>
        <v>0</v>
      </c>
      <c r="AK51" s="460">
        <f ca="1">IF(N($AH51)&gt;0,VLOOKUP($AH51,Body!$A$4:$F$259,2,0),"")</f>
        <v>2</v>
      </c>
      <c r="AL51" s="462" t="str">
        <f t="shared" ca="1" si="28"/>
        <v>41 PC Sokol PP Hr. Králové - Melgr Jan</v>
      </c>
      <c r="AM51" s="463">
        <f t="shared" ca="1" si="29"/>
        <v>64.314000000000007</v>
      </c>
      <c r="AN51" s="395">
        <f ca="1">IF(OR(TYPE(I51)&gt;1,TYPE(MATCH(I51,I52:I$139,0))&gt;1),0,MATCH(I51,I52:I$139,0))+IF(OR(TYPE(I51)&gt;1,TYPE(MATCH(I51,O$11:O$139,0))&gt;1),0,MATCH(I51,O$11:O$139,0))+IF(OR(TYPE(I51)&gt;1,TYPE(MATCH(I51,U$11:U$139,0))&gt;1),0,MATCH(I51,U$11:U$139,0))+IF(OR(TYPE(I51)&gt;1,TYPE(MATCH(I51,AA$11:AA$139,0))&gt;1),0,MATCH(I51,AA$11:AA$139,0))</f>
        <v>0</v>
      </c>
      <c r="AO51" s="395">
        <f ca="1">IF(OR(TYPE(O51)&gt;1,TYPE(MATCH(O51,I$11:I$139,0))&gt;1),0,MATCH(O51,I$11:I$139,0))+IF(OR(TYPE(O51)&gt;1,TYPE(MATCH(O51,O52:O$139,0))&gt;1),0,MATCH(O51,O52:O$139,0))+IF(OR(TYPE(O51)&gt;1,TYPE(MATCH(O51,U$11:U$139,0))&gt;1),0,MATCH(O51,U$11:U$139,0))+IF(OR(TYPE(O51)&gt;1,TYPE(MATCH(O51,AA$11:AA$139,0))&gt;1),0,MATCH(O51,AA$11:AA$139,0))</f>
        <v>0</v>
      </c>
      <c r="AP51" s="395">
        <f ca="1">IF(OR(TYPE(U51)&gt;1,TYPE(MATCH(U51,I$11:I$139,0))&gt;1),0,MATCH(U51,I$11:I$139,0))+IF(OR(TYPE(U51)&gt;1,TYPE(MATCH(U51,O$11:O$139,0))&gt;1),0,MATCH(U51,O$11:O$139,0))+IF(OR(TYPE(U51)&gt;1,TYPE(MATCH(U51,U52:U$139,0))&gt;1),0,MATCH(U51,U52:U$139,0))+IF(OR(TYPE(U51)&gt;1,TYPE(MATCH(U51,AA$11:AA$139,0))&gt;1),0,MATCH(U51,AA$11:AA$139,0))</f>
        <v>0</v>
      </c>
      <c r="AQ51" s="395">
        <f ca="1">IF(OR(TYPE(AA51)&gt;1,TYPE(MATCH(AA51,I$11:I$139,0))&gt;1),0,MATCH(AA51,I$11:I$139,0))+IF(OR(TYPE(AA51)&gt;1,TYPE(MATCH(AA51,O$11:O$139,0))&gt;1),0,MATCH(AA51,O$11:O$139,0))+IF(OR(TYPE(AA51)&gt;1,TYPE(MATCH(AA51,U$11:U$139,0))&gt;1),0,MATCH(U51,U$11:U$139,0))+IF(OR(TYPE(AA51)&gt;1,TYPE(MATCH(AA51,AA52:AA$139,0))&gt;1),0,MATCH(AA51,AA52:AA$139,0))</f>
        <v>0</v>
      </c>
      <c r="AR51" s="395">
        <f t="shared" ca="1" si="14"/>
        <v>0</v>
      </c>
      <c r="BF51" s="395">
        <f t="shared" si="15"/>
        <v>41</v>
      </c>
    </row>
    <row r="52" spans="1:58" ht="12.9">
      <c r="A52" s="387">
        <f t="shared" ca="1" si="16"/>
        <v>3</v>
      </c>
      <c r="B52" s="387">
        <f t="shared" ca="1" si="17"/>
        <v>1</v>
      </c>
      <c r="C52" s="387">
        <f t="shared" ca="1" si="18"/>
        <v>64.222999999999999</v>
      </c>
      <c r="D52" s="387">
        <f t="shared" ca="1" si="19"/>
        <v>468</v>
      </c>
      <c r="E52" s="387">
        <f t="shared" ca="1" si="20"/>
        <v>93</v>
      </c>
      <c r="F52" s="417" t="str">
        <f t="shared" ca="1" si="21"/>
        <v>01000000000000000000503597</v>
      </c>
      <c r="G52" s="453" t="b">
        <f t="shared" ca="1" si="22"/>
        <v>0</v>
      </c>
      <c r="H52" s="454">
        <f t="shared" si="23"/>
        <v>42</v>
      </c>
      <c r="I52" s="455">
        <f t="shared" ca="1" si="24"/>
        <v>21836</v>
      </c>
      <c r="J52" s="456" t="str">
        <f ca="1">IF(N(I52)&gt;0,VLOOKUP(I52,Hraci!$A$1:$I$1500,2,0),IF(TYPE(INDIRECT(ADDRESS(ROW() + $A$9-9 + (ROW()-11)*4,2,1,1,"Internet")))&gt;1,INDIRECT(ADDRESS(ROW() + $A$9-9 + (ROW()-11)*4,2,1,1,"Internet"))," "))</f>
        <v>Piller</v>
      </c>
      <c r="K52" s="457" t="str">
        <f ca="1">IF(N(I52)&gt;0,VLOOKUP(I52,Hraci!$A$1:$I$1500,3,0)," ")</f>
        <v>Tomáš</v>
      </c>
      <c r="L52" s="457" t="str">
        <f ca="1">IF(N(I52)&gt;0,VLOOKUP(I52,Hraci!$A$1:$I$1500,5,0),IF(TYPE(INDIRECT(ADDRESS(ROW() + $A$9-9 + (ROW()-11)*4,3,1,1,"Internet")))&gt;1,INDIRECT(ADDRESS(ROW() + $A$9-9 + (ROW()-11)*4,3,1,1,"Internet"))," "))</f>
        <v>SK Sahara Vědomice</v>
      </c>
      <c r="M52" s="395">
        <f ca="1">IF(N(I52)=0,9999,VLOOKUP(I52,Hraci!$A$1:$I$1500,8,0))</f>
        <v>190</v>
      </c>
      <c r="N52" s="458">
        <f ca="1">IF(N(I52)=0,0,VLOOKUP(I52,Hraci!$A$1:$I$1500,9,0))</f>
        <v>15.002000000000001</v>
      </c>
      <c r="O52" s="455">
        <f t="shared" ca="1" si="25"/>
        <v>28001</v>
      </c>
      <c r="P52" s="456" t="str">
        <f ca="1">IF(N(O52)&gt;0,VLOOKUP(O52,Hraci!$A$1:$I$1500,2,0),IF(TYPE(INDIRECT(ADDRESS(ROW() + $A$9-8 + (ROW()-11)*4,2,1,1,"Internet")))&gt;1,INDIRECT(ADDRESS(ROW() + $A$9-8 + (ROW()-11)*4,2,1,1,"Internet"))," "))</f>
        <v>Pillerová</v>
      </c>
      <c r="Q52" s="457" t="str">
        <f ca="1">IF(N(O52)&gt;0,VLOOKUP(O52,Hraci!$A$1:$I$1500,3,0)," ")</f>
        <v>Monika</v>
      </c>
      <c r="R52" s="457" t="str">
        <f ca="1">IF(N(O52)&gt;0,VLOOKUP(O52,Hraci!$A$1:$I$1500,5,0),IF(TYPE(INDIRECT(ADDRESS(ROW() + $A$9-8 + (ROW()-11)*4,3,1,1,"Internet")))&gt;1,INDIRECT(ADDRESS(ROW() + $A$9-8 + (ROW()-11)*4,3,1,1,"Internet"))," "))</f>
        <v>SK Sahara Vědomice</v>
      </c>
      <c r="S52" s="395">
        <f ca="1">IF(N(O52)=0,9999,VLOOKUP(O52,Hraci!$A$1:$I$1500,8,0))</f>
        <v>185</v>
      </c>
      <c r="T52" s="458">
        <f ca="1">IF(N(O52)=0,0,VLOOKUP(O52,Hraci!$A$1:$I$1500,9,0))</f>
        <v>15.782999999999999</v>
      </c>
      <c r="U52" s="455">
        <f t="shared" ca="1" si="26"/>
        <v>99510</v>
      </c>
      <c r="V52" s="456" t="str">
        <f ca="1">IF(N(U52)&gt;0,VLOOKUP(U52,Hraci!$A$1:$I$1500,2,0),IF(TYPE(INDIRECT(ADDRESS(ROW() + $A$9-7 + (ROW()-11)*4,2,1,1,"Internet")))&gt;1,INDIRECT(ADDRESS(ROW() + $A$9-7 + (ROW()-11)*4,2,1,1,"Internet"))," "))</f>
        <v>Demčík</v>
      </c>
      <c r="W52" s="457" t="str">
        <f ca="1">IF(N(U52)&gt;0,VLOOKUP(U52,Hraci!$A$1:$I$1500,3,0)," ")</f>
        <v>Milan</v>
      </c>
      <c r="X52" s="457" t="str">
        <f ca="1">IF(N(U52)&gt;0,VLOOKUP(U52,Hraci!$A$1:$I$1500,5,0),IF(TYPE(INDIRECT(ADDRESS(ROW() + $A$9-7 + (ROW()-11)*4,3,1,1,"Internet")))&gt;1,INDIRECT(ADDRESS(ROW() + $A$9-7 + (ROW()-11)*4,3,1,1,"Internet"))," "))</f>
        <v>SK Sahara Vědomice</v>
      </c>
      <c r="Y52" s="395">
        <f ca="1">IF(N(U52)=0,9999,VLOOKUP(U52,Hraci!$A$1:$I$1500,8,0))</f>
        <v>93</v>
      </c>
      <c r="Z52" s="458">
        <f ca="1">IF(N(U52)=0,0,VLOOKUP(U52,Hraci!$A$1:$I$1500,9,0))</f>
        <v>33.438000000000002</v>
      </c>
      <c r="AA52" s="455" t="str">
        <f t="shared" ca="1" si="27"/>
        <v/>
      </c>
      <c r="AB52" s="456" t="str">
        <f ca="1">IF(N(AA52)&gt;0,VLOOKUP(AA52,Hraci!$A$1:$I$1500,2,0)," ")</f>
        <v xml:space="preserve"> </v>
      </c>
      <c r="AC52" s="457" t="str">
        <f ca="1">IF(N(AA52)&gt;0,VLOOKUP(AA52,Hraci!$A$1:$I$1500,3,0)," ")</f>
        <v xml:space="preserve"> </v>
      </c>
      <c r="AD52" s="457" t="str">
        <f ca="1">IF(N(AA52)&gt;0,VLOOKUP(AA52,Hraci!$A$1:$I$1500,5,0)," ")</f>
        <v xml:space="preserve"> </v>
      </c>
      <c r="AE52" s="395">
        <f ca="1">IF(N(AA52)=0,9999,VLOOKUP(AA52,Hraci!$A$1:$I$1500,8,0))</f>
        <v>9999</v>
      </c>
      <c r="AF52" s="458">
        <f ca="1">IF(N(AA52)=0,0,VLOOKUP(AA52,Hraci!$A$1:$I$1500,9,0))</f>
        <v>0</v>
      </c>
      <c r="AG52" s="459"/>
      <c r="AH52" s="465">
        <f ca="1">IF(TYPE(VLOOKUP(H52,Nasazení!$A$3:$E$130,5,0))&lt;4,VLOOKUP(H52,Nasazení!$A$3:$E$130,5,0),0)</f>
        <v>32</v>
      </c>
      <c r="AI52" s="460">
        <f ca="1">IF(N($AH52)&gt;0,VLOOKUP($AH52,Body!$A$4:$F$259,5,0),"")</f>
        <v>38.074437500000002</v>
      </c>
      <c r="AJ52" s="461">
        <f ca="1">IF(N($AH52)&gt;0,VLOOKUP($AH52,Body!$A$4:$F$259,6,0),"")</f>
        <v>0</v>
      </c>
      <c r="AK52" s="460">
        <f ca="1">IF(N($AH52)&gt;0,VLOOKUP($AH52,Body!$A$4:$F$259,2,0),"")</f>
        <v>1</v>
      </c>
      <c r="AL52" s="462" t="str">
        <f t="shared" ca="1" si="28"/>
        <v>42 SK Sahara Vědomice - Piller Tomáš</v>
      </c>
      <c r="AM52" s="463">
        <f t="shared" ca="1" si="29"/>
        <v>64.222999999999999</v>
      </c>
      <c r="AN52" s="395">
        <f ca="1">IF(OR(TYPE(I52)&gt;1,TYPE(MATCH(I52,I53:I$139,0))&gt;1),0,MATCH(I52,I53:I$139,0))+IF(OR(TYPE(I52)&gt;1,TYPE(MATCH(I52,O$11:O$139,0))&gt;1),0,MATCH(I52,O$11:O$139,0))+IF(OR(TYPE(I52)&gt;1,TYPE(MATCH(I52,U$11:U$139,0))&gt;1),0,MATCH(I52,U$11:U$139,0))+IF(OR(TYPE(I52)&gt;1,TYPE(MATCH(I52,AA$11:AA$139,0))&gt;1),0,MATCH(I52,AA$11:AA$139,0))</f>
        <v>0</v>
      </c>
      <c r="AO52" s="395">
        <f ca="1">IF(OR(TYPE(O52)&gt;1,TYPE(MATCH(O52,I$11:I$139,0))&gt;1),0,MATCH(O52,I$11:I$139,0))+IF(OR(TYPE(O52)&gt;1,TYPE(MATCH(O52,O53:O$139,0))&gt;1),0,MATCH(O52,O53:O$139,0))+IF(OR(TYPE(O52)&gt;1,TYPE(MATCH(O52,U$11:U$139,0))&gt;1),0,MATCH(O52,U$11:U$139,0))+IF(OR(TYPE(O52)&gt;1,TYPE(MATCH(O52,AA$11:AA$139,0))&gt;1),0,MATCH(O52,AA$11:AA$139,0))</f>
        <v>0</v>
      </c>
      <c r="AP52" s="395">
        <f ca="1">IF(OR(TYPE(U52)&gt;1,TYPE(MATCH(U52,I$11:I$139,0))&gt;1),0,MATCH(U52,I$11:I$139,0))+IF(OR(TYPE(U52)&gt;1,TYPE(MATCH(U52,O$11:O$139,0))&gt;1),0,MATCH(U52,O$11:O$139,0))+IF(OR(TYPE(U52)&gt;1,TYPE(MATCH(U52,U53:U$139,0))&gt;1),0,MATCH(U52,U53:U$139,0))+IF(OR(TYPE(U52)&gt;1,TYPE(MATCH(U52,AA$11:AA$139,0))&gt;1),0,MATCH(U52,AA$11:AA$139,0))</f>
        <v>0</v>
      </c>
      <c r="AQ52" s="395">
        <f ca="1">IF(OR(TYPE(AA52)&gt;1,TYPE(MATCH(AA52,I$11:I$139,0))&gt;1),0,MATCH(AA52,I$11:I$139,0))+IF(OR(TYPE(AA52)&gt;1,TYPE(MATCH(AA52,O$11:O$139,0))&gt;1),0,MATCH(AA52,O$11:O$139,0))+IF(OR(TYPE(AA52)&gt;1,TYPE(MATCH(AA52,U$11:U$139,0))&gt;1),0,MATCH(U52,U$11:U$139,0))+IF(OR(TYPE(AA52)&gt;1,TYPE(MATCH(AA52,AA53:AA$139,0))&gt;1),0,MATCH(AA52,AA53:AA$139,0))</f>
        <v>0</v>
      </c>
      <c r="AR52" s="395">
        <f t="shared" ca="1" si="14"/>
        <v>0</v>
      </c>
      <c r="BF52" s="395">
        <f t="shared" si="15"/>
        <v>42</v>
      </c>
    </row>
    <row r="53" spans="1:58" ht="12.9">
      <c r="A53" s="387">
        <f t="shared" ca="1" si="16"/>
        <v>3</v>
      </c>
      <c r="B53" s="387">
        <f t="shared" ca="1" si="17"/>
        <v>1</v>
      </c>
      <c r="C53" s="387">
        <f t="shared" ca="1" si="18"/>
        <v>61.909000000000006</v>
      </c>
      <c r="D53" s="387">
        <f t="shared" ca="1" si="19"/>
        <v>486</v>
      </c>
      <c r="E53" s="387">
        <f t="shared" ca="1" si="20"/>
        <v>131</v>
      </c>
      <c r="F53" s="417" t="str">
        <f t="shared" ca="1" si="21"/>
        <v>01000000000000000000559305</v>
      </c>
      <c r="G53" s="453" t="b">
        <f t="shared" ca="1" si="22"/>
        <v>0</v>
      </c>
      <c r="H53" s="454">
        <f t="shared" si="23"/>
        <v>43</v>
      </c>
      <c r="I53" s="455">
        <f t="shared" ca="1" si="24"/>
        <v>21026</v>
      </c>
      <c r="J53" s="456" t="str">
        <f ca="1">IF(N(I53)&gt;0,VLOOKUP(I53,Hraci!$A$1:$I$1500,2,0),IF(TYPE(INDIRECT(ADDRESS(ROW() + $A$9-9 + (ROW()-11)*4,2,1,1,"Internet")))&gt;1,INDIRECT(ADDRESS(ROW() + $A$9-9 + (ROW()-11)*4,2,1,1,"Internet"))," "))</f>
        <v>Vodehnalová</v>
      </c>
      <c r="K53" s="457" t="str">
        <f ca="1">IF(N(I53)&gt;0,VLOOKUP(I53,Hraci!$A$1:$I$1500,3,0)," ")</f>
        <v>Jindra</v>
      </c>
      <c r="L53" s="457" t="str">
        <f ca="1">IF(N(I53)&gt;0,VLOOKUP(I53,Hraci!$A$1:$I$1500,5,0),IF(TYPE(INDIRECT(ADDRESS(ROW() + $A$9-9 + (ROW()-11)*4,3,1,1,"Internet")))&gt;1,INDIRECT(ADDRESS(ROW() + $A$9-9 + (ROW()-11)*4,3,1,1,"Internet"))," "))</f>
        <v>SK Pétanque Řepy</v>
      </c>
      <c r="M53" s="395">
        <f ca="1">IF(N(I53)=0,9999,VLOOKUP(I53,Hraci!$A$1:$I$1500,8,0))</f>
        <v>131</v>
      </c>
      <c r="N53" s="458">
        <f ca="1">IF(N(I53)=0,0,VLOOKUP(I53,Hraci!$A$1:$I$1500,9,0))</f>
        <v>21.251000000000001</v>
      </c>
      <c r="O53" s="455">
        <f t="shared" ca="1" si="25"/>
        <v>21025</v>
      </c>
      <c r="P53" s="456" t="str">
        <f ca="1">IF(N(O53)&gt;0,VLOOKUP(O53,Hraci!$A$1:$I$1500,2,0),IF(TYPE(INDIRECT(ADDRESS(ROW() + $A$9-8 + (ROW()-11)*4,2,1,1,"Internet")))&gt;1,INDIRECT(ADDRESS(ROW() + $A$9-8 + (ROW()-11)*4,2,1,1,"Internet"))," "))</f>
        <v>Vodehnal</v>
      </c>
      <c r="Q53" s="457" t="str">
        <f ca="1">IF(N(O53)&gt;0,VLOOKUP(O53,Hraci!$A$1:$I$1500,3,0)," ")</f>
        <v>Zdeněk</v>
      </c>
      <c r="R53" s="457" t="str">
        <f ca="1">IF(N(O53)&gt;0,VLOOKUP(O53,Hraci!$A$1:$I$1500,5,0),IF(TYPE(INDIRECT(ADDRESS(ROW() + $A$9-8 + (ROW()-11)*4,3,1,1,"Internet")))&gt;1,INDIRECT(ADDRESS(ROW() + $A$9-8 + (ROW()-11)*4,3,1,1,"Internet"))," "))</f>
        <v>SK Pétanque Řepy</v>
      </c>
      <c r="S53" s="395">
        <f ca="1">IF(N(O53)=0,9999,VLOOKUP(O53,Hraci!$A$1:$I$1500,8,0))</f>
        <v>194</v>
      </c>
      <c r="T53" s="458">
        <f ca="1">IF(N(O53)=0,0,VLOOKUP(O53,Hraci!$A$1:$I$1500,9,0))</f>
        <v>16.907</v>
      </c>
      <c r="U53" s="455">
        <f t="shared" ca="1" si="26"/>
        <v>12042</v>
      </c>
      <c r="V53" s="456" t="str">
        <f ca="1">IF(N(U53)&gt;0,VLOOKUP(U53,Hraci!$A$1:$I$1500,2,0),IF(TYPE(INDIRECT(ADDRESS(ROW() + $A$9-7 + (ROW()-11)*4,2,1,1,"Internet")))&gt;1,INDIRECT(ADDRESS(ROW() + $A$9-7 + (ROW()-11)*4,2,1,1,"Internet"))," "))</f>
        <v>Pilát</v>
      </c>
      <c r="W53" s="457" t="str">
        <f ca="1">IF(N(U53)&gt;0,VLOOKUP(U53,Hraci!$A$1:$I$1500,3,0)," ")</f>
        <v>Petr</v>
      </c>
      <c r="X53" s="457" t="str">
        <f ca="1">IF(N(U53)&gt;0,VLOOKUP(U53,Hraci!$A$1:$I$1500,5,0),IF(TYPE(INDIRECT(ADDRESS(ROW() + $A$9-7 + (ROW()-11)*4,3,1,1,"Internet")))&gt;1,INDIRECT(ADDRESS(ROW() + $A$9-7 + (ROW()-11)*4,3,1,1,"Internet"))," "))</f>
        <v>SKP Kulová osma</v>
      </c>
      <c r="Y53" s="395">
        <f ca="1">IF(N(U53)=0,9999,VLOOKUP(U53,Hraci!$A$1:$I$1500,8,0))</f>
        <v>161</v>
      </c>
      <c r="Z53" s="458">
        <f ca="1">IF(N(U53)=0,0,VLOOKUP(U53,Hraci!$A$1:$I$1500,9,0))</f>
        <v>23.751000000000001</v>
      </c>
      <c r="AA53" s="455" t="str">
        <f t="shared" ca="1" si="27"/>
        <v/>
      </c>
      <c r="AB53" s="456" t="str">
        <f ca="1">IF(N(AA53)&gt;0,VLOOKUP(AA53,Hraci!$A$1:$I$1500,2,0)," ")</f>
        <v xml:space="preserve"> </v>
      </c>
      <c r="AC53" s="457" t="str">
        <f ca="1">IF(N(AA53)&gt;0,VLOOKUP(AA53,Hraci!$A$1:$I$1500,3,0)," ")</f>
        <v xml:space="preserve"> </v>
      </c>
      <c r="AD53" s="457" t="str">
        <f ca="1">IF(N(AA53)&gt;0,VLOOKUP(AA53,Hraci!$A$1:$I$1500,5,0)," ")</f>
        <v xml:space="preserve"> </v>
      </c>
      <c r="AE53" s="395">
        <f ca="1">IF(N(AA53)=0,9999,VLOOKUP(AA53,Hraci!$A$1:$I$1500,8,0))</f>
        <v>9999</v>
      </c>
      <c r="AF53" s="458">
        <f ca="1">IF(N(AA53)=0,0,VLOOKUP(AA53,Hraci!$A$1:$I$1500,9,0))</f>
        <v>0</v>
      </c>
      <c r="AG53" s="459"/>
      <c r="AH53" s="465">
        <f ca="1">IF(TYPE(VLOOKUP(H53,Nasazení!$A$3:$E$130,5,0))&lt;4,VLOOKUP(H53,Nasazení!$A$3:$E$130,5,0),0)</f>
        <v>59</v>
      </c>
      <c r="AI53" s="460">
        <f ca="1">IF(N($AH53)&gt;0,VLOOKUP($AH53,Body!$A$4:$F$259,5,0),"")</f>
        <v>1</v>
      </c>
      <c r="AJ53" s="461">
        <f ca="1">IF(N($AH53)&gt;0,VLOOKUP($AH53,Body!$A$4:$F$259,6,0),"")</f>
        <v>0</v>
      </c>
      <c r="AK53" s="460">
        <f ca="1">IF(N($AH53)&gt;0,VLOOKUP($AH53,Body!$A$4:$F$259,2,0),"")</f>
        <v>0</v>
      </c>
      <c r="AL53" s="462" t="str">
        <f t="shared" ca="1" si="28"/>
        <v>43 SK Pétanque Řepy - Vodehnalová Jindra</v>
      </c>
      <c r="AM53" s="463">
        <f t="shared" ca="1" si="29"/>
        <v>61.909000000000006</v>
      </c>
      <c r="AN53" s="395">
        <f ca="1">IF(OR(TYPE(I53)&gt;1,TYPE(MATCH(I53,I54:I$139,0))&gt;1),0,MATCH(I53,I54:I$139,0))+IF(OR(TYPE(I53)&gt;1,TYPE(MATCH(I53,O$11:O$139,0))&gt;1),0,MATCH(I53,O$11:O$139,0))+IF(OR(TYPE(I53)&gt;1,TYPE(MATCH(I53,U$11:U$139,0))&gt;1),0,MATCH(I53,U$11:U$139,0))+IF(OR(TYPE(I53)&gt;1,TYPE(MATCH(I53,AA$11:AA$139,0))&gt;1),0,MATCH(I53,AA$11:AA$139,0))</f>
        <v>0</v>
      </c>
      <c r="AO53" s="395">
        <f ca="1">IF(OR(TYPE(O53)&gt;1,TYPE(MATCH(O53,I$11:I$139,0))&gt;1),0,MATCH(O53,I$11:I$139,0))+IF(OR(TYPE(O53)&gt;1,TYPE(MATCH(O53,O54:O$139,0))&gt;1),0,MATCH(O53,O54:O$139,0))+IF(OR(TYPE(O53)&gt;1,TYPE(MATCH(O53,U$11:U$139,0))&gt;1),0,MATCH(O53,U$11:U$139,0))+IF(OR(TYPE(O53)&gt;1,TYPE(MATCH(O53,AA$11:AA$139,0))&gt;1),0,MATCH(O53,AA$11:AA$139,0))</f>
        <v>0</v>
      </c>
      <c r="AP53" s="395">
        <f ca="1">IF(OR(TYPE(U53)&gt;1,TYPE(MATCH(U53,I$11:I$139,0))&gt;1),0,MATCH(U53,I$11:I$139,0))+IF(OR(TYPE(U53)&gt;1,TYPE(MATCH(U53,O$11:O$139,0))&gt;1),0,MATCH(U53,O$11:O$139,0))+IF(OR(TYPE(U53)&gt;1,TYPE(MATCH(U53,U54:U$139,0))&gt;1),0,MATCH(U53,U54:U$139,0))+IF(OR(TYPE(U53)&gt;1,TYPE(MATCH(U53,AA$11:AA$139,0))&gt;1),0,MATCH(U53,AA$11:AA$139,0))</f>
        <v>0</v>
      </c>
      <c r="AQ53" s="395">
        <f ca="1">IF(OR(TYPE(AA53)&gt;1,TYPE(MATCH(AA53,I$11:I$139,0))&gt;1),0,MATCH(AA53,I$11:I$139,0))+IF(OR(TYPE(AA53)&gt;1,TYPE(MATCH(AA53,O$11:O$139,0))&gt;1),0,MATCH(AA53,O$11:O$139,0))+IF(OR(TYPE(AA53)&gt;1,TYPE(MATCH(AA53,U$11:U$139,0))&gt;1),0,MATCH(U53,U$11:U$139,0))+IF(OR(TYPE(AA53)&gt;1,TYPE(MATCH(AA53,AA54:AA$139,0))&gt;1),0,MATCH(AA53,AA54:AA$139,0))</f>
        <v>0</v>
      </c>
      <c r="AR53" s="395">
        <f t="shared" ca="1" si="14"/>
        <v>0</v>
      </c>
      <c r="BF53" s="395">
        <f t="shared" si="15"/>
        <v>43</v>
      </c>
    </row>
    <row r="54" spans="1:58" ht="12.9">
      <c r="A54" s="387">
        <f t="shared" ca="1" si="16"/>
        <v>3</v>
      </c>
      <c r="B54" s="387">
        <f t="shared" ca="1" si="17"/>
        <v>1</v>
      </c>
      <c r="C54" s="387">
        <f t="shared" ca="1" si="18"/>
        <v>61.160000000000004</v>
      </c>
      <c r="D54" s="387">
        <f t="shared" ca="1" si="19"/>
        <v>451</v>
      </c>
      <c r="E54" s="387">
        <f t="shared" ca="1" si="20"/>
        <v>112</v>
      </c>
      <c r="F54" s="417" t="str">
        <f t="shared" ca="1" si="21"/>
        <v>01000000000000000000490884</v>
      </c>
      <c r="G54" s="453" t="b">
        <f t="shared" ca="1" si="22"/>
        <v>0</v>
      </c>
      <c r="H54" s="454">
        <f t="shared" si="23"/>
        <v>44</v>
      </c>
      <c r="I54" s="455">
        <f t="shared" ca="1" si="24"/>
        <v>15011</v>
      </c>
      <c r="J54" s="456" t="str">
        <f ca="1">IF(N(I54)&gt;0,VLOOKUP(I54,Hraci!$A$1:$I$1500,2,0),IF(TYPE(INDIRECT(ADDRESS(ROW() + $A$9-9 + (ROW()-11)*4,2,1,1,"Internet")))&gt;1,INDIRECT(ADDRESS(ROW() + $A$9-9 + (ROW()-11)*4,2,1,1,"Internet"))," "))</f>
        <v>Chmelař</v>
      </c>
      <c r="K54" s="457" t="str">
        <f ca="1">IF(N(I54)&gt;0,VLOOKUP(I54,Hraci!$A$1:$I$1500,3,0)," ")</f>
        <v>Ivo</v>
      </c>
      <c r="L54" s="457" t="str">
        <f ca="1">IF(N(I54)&gt;0,VLOOKUP(I54,Hraci!$A$1:$I$1500,5,0),IF(TYPE(INDIRECT(ADDRESS(ROW() + $A$9-9 + (ROW()-11)*4,3,1,1,"Internet")))&gt;1,INDIRECT(ADDRESS(ROW() + $A$9-9 + (ROW()-11)*4,3,1,1,"Internet"))," "))</f>
        <v>SKP Kulová osma</v>
      </c>
      <c r="M54" s="395">
        <f ca="1">IF(N(I54)=0,9999,VLOOKUP(I54,Hraci!$A$1:$I$1500,8,0))</f>
        <v>112</v>
      </c>
      <c r="N54" s="458">
        <f ca="1">IF(N(I54)=0,0,VLOOKUP(I54,Hraci!$A$1:$I$1500,9,0))</f>
        <v>20.094999999999999</v>
      </c>
      <c r="O54" s="455">
        <f t="shared" ca="1" si="25"/>
        <v>15010</v>
      </c>
      <c r="P54" s="456" t="str">
        <f ca="1">IF(N(O54)&gt;0,VLOOKUP(O54,Hraci!$A$1:$I$1500,2,0),IF(TYPE(INDIRECT(ADDRESS(ROW() + $A$9-8 + (ROW()-11)*4,2,1,1,"Internet")))&gt;1,INDIRECT(ADDRESS(ROW() + $A$9-8 + (ROW()-11)*4,2,1,1,"Internet"))," "))</f>
        <v>Chmelařová</v>
      </c>
      <c r="Q54" s="457" t="str">
        <f ca="1">IF(N(O54)&gt;0,VLOOKUP(O54,Hraci!$A$1:$I$1500,3,0)," ")</f>
        <v>Yvetta</v>
      </c>
      <c r="R54" s="457" t="str">
        <f ca="1">IF(N(O54)&gt;0,VLOOKUP(O54,Hraci!$A$1:$I$1500,5,0),IF(TYPE(INDIRECT(ADDRESS(ROW() + $A$9-8 + (ROW()-11)*4,3,1,1,"Internet")))&gt;1,INDIRECT(ADDRESS(ROW() + $A$9-8 + (ROW()-11)*4,3,1,1,"Internet"))," "))</f>
        <v>SKP Kulová osma</v>
      </c>
      <c r="S54" s="395">
        <f ca="1">IF(N(O54)=0,9999,VLOOKUP(O54,Hraci!$A$1:$I$1500,8,0))</f>
        <v>164</v>
      </c>
      <c r="T54" s="458">
        <f ca="1">IF(N(O54)=0,0,VLOOKUP(O54,Hraci!$A$1:$I$1500,9,0))</f>
        <v>18.501000000000001</v>
      </c>
      <c r="U54" s="455">
        <f t="shared" ca="1" si="26"/>
        <v>20573</v>
      </c>
      <c r="V54" s="456" t="str">
        <f ca="1">IF(N(U54)&gt;0,VLOOKUP(U54,Hraci!$A$1:$I$1500,2,0),IF(TYPE(INDIRECT(ADDRESS(ROW() + $A$9-7 + (ROW()-11)*4,2,1,1,"Internet")))&gt;1,INDIRECT(ADDRESS(ROW() + $A$9-7 + (ROW()-11)*4,2,1,1,"Internet"))," "))</f>
        <v>Vávrová</v>
      </c>
      <c r="W54" s="457" t="str">
        <f ca="1">IF(N(U54)&gt;0,VLOOKUP(U54,Hraci!$A$1:$I$1500,3,0)," ")</f>
        <v>Ivana</v>
      </c>
      <c r="X54" s="457" t="str">
        <f ca="1">IF(N(U54)&gt;0,VLOOKUP(U54,Hraci!$A$1:$I$1500,5,0),IF(TYPE(INDIRECT(ADDRESS(ROW() + $A$9-7 + (ROW()-11)*4,3,1,1,"Internet")))&gt;1,INDIRECT(ADDRESS(ROW() + $A$9-7 + (ROW()-11)*4,3,1,1,"Internet"))," "))</f>
        <v>PC Sokol PP Hr. Králové</v>
      </c>
      <c r="Y54" s="395">
        <f ca="1">IF(N(U54)=0,9999,VLOOKUP(U54,Hraci!$A$1:$I$1500,8,0))</f>
        <v>175</v>
      </c>
      <c r="Z54" s="458">
        <f ca="1">IF(N(U54)=0,0,VLOOKUP(U54,Hraci!$A$1:$I$1500,9,0))</f>
        <v>22.564</v>
      </c>
      <c r="AA54" s="455" t="str">
        <f t="shared" ca="1" si="27"/>
        <v/>
      </c>
      <c r="AB54" s="456" t="str">
        <f ca="1">IF(N(AA54)&gt;0,VLOOKUP(AA54,Hraci!$A$1:$I$1500,2,0)," ")</f>
        <v xml:space="preserve"> </v>
      </c>
      <c r="AC54" s="457" t="str">
        <f ca="1">IF(N(AA54)&gt;0,VLOOKUP(AA54,Hraci!$A$1:$I$1500,3,0)," ")</f>
        <v xml:space="preserve"> </v>
      </c>
      <c r="AD54" s="457" t="str">
        <f ca="1">IF(N(AA54)&gt;0,VLOOKUP(AA54,Hraci!$A$1:$I$1500,5,0)," ")</f>
        <v xml:space="preserve"> </v>
      </c>
      <c r="AE54" s="395">
        <f ca="1">IF(N(AA54)=0,9999,VLOOKUP(AA54,Hraci!$A$1:$I$1500,8,0))</f>
        <v>9999</v>
      </c>
      <c r="AF54" s="458">
        <f ca="1">IF(N(AA54)=0,0,VLOOKUP(AA54,Hraci!$A$1:$I$1500,9,0))</f>
        <v>0</v>
      </c>
      <c r="AG54" s="459"/>
      <c r="AH54" s="465">
        <f ca="1">IF(TYPE(VLOOKUP(H54,Nasazení!$A$3:$E$130,5,0))&lt;4,VLOOKUP(H54,Nasazení!$A$3:$E$130,5,0),0)</f>
        <v>59</v>
      </c>
      <c r="AI54" s="460">
        <f ca="1">IF(N($AH54)&gt;0,VLOOKUP($AH54,Body!$A$4:$F$259,5,0),"")</f>
        <v>1</v>
      </c>
      <c r="AJ54" s="461">
        <f ca="1">IF(N($AH54)&gt;0,VLOOKUP($AH54,Body!$A$4:$F$259,6,0),"")</f>
        <v>0</v>
      </c>
      <c r="AK54" s="460">
        <f ca="1">IF(N($AH54)&gt;0,VLOOKUP($AH54,Body!$A$4:$F$259,2,0),"")</f>
        <v>0</v>
      </c>
      <c r="AL54" s="462" t="str">
        <f t="shared" ca="1" si="28"/>
        <v>44 SKP Kulová osma - Chmelař Ivo</v>
      </c>
      <c r="AM54" s="463">
        <f t="shared" ca="1" si="29"/>
        <v>61.160000000000004</v>
      </c>
      <c r="AN54" s="395">
        <f ca="1">IF(OR(TYPE(I54)&gt;1,TYPE(MATCH(I54,I55:I$139,0))&gt;1),0,MATCH(I54,I55:I$139,0))+IF(OR(TYPE(I54)&gt;1,TYPE(MATCH(I54,O$11:O$139,0))&gt;1),0,MATCH(I54,O$11:O$139,0))+IF(OR(TYPE(I54)&gt;1,TYPE(MATCH(I54,U$11:U$139,0))&gt;1),0,MATCH(I54,U$11:U$139,0))+IF(OR(TYPE(I54)&gt;1,TYPE(MATCH(I54,AA$11:AA$139,0))&gt;1),0,MATCH(I54,AA$11:AA$139,0))</f>
        <v>0</v>
      </c>
      <c r="AO54" s="395">
        <f ca="1">IF(OR(TYPE(O54)&gt;1,TYPE(MATCH(O54,I$11:I$139,0))&gt;1),0,MATCH(O54,I$11:I$139,0))+IF(OR(TYPE(O54)&gt;1,TYPE(MATCH(O54,O55:O$139,0))&gt;1),0,MATCH(O54,O55:O$139,0))+IF(OR(TYPE(O54)&gt;1,TYPE(MATCH(O54,U$11:U$139,0))&gt;1),0,MATCH(O54,U$11:U$139,0))+IF(OR(TYPE(O54)&gt;1,TYPE(MATCH(O54,AA$11:AA$139,0))&gt;1),0,MATCH(O54,AA$11:AA$139,0))</f>
        <v>0</v>
      </c>
      <c r="AP54" s="395">
        <f ca="1">IF(OR(TYPE(U54)&gt;1,TYPE(MATCH(U54,I$11:I$139,0))&gt;1),0,MATCH(U54,I$11:I$139,0))+IF(OR(TYPE(U54)&gt;1,TYPE(MATCH(U54,O$11:O$139,0))&gt;1),0,MATCH(U54,O$11:O$139,0))+IF(OR(TYPE(U54)&gt;1,TYPE(MATCH(U54,U55:U$139,0))&gt;1),0,MATCH(U54,U55:U$139,0))+IF(OR(TYPE(U54)&gt;1,TYPE(MATCH(U54,AA$11:AA$139,0))&gt;1),0,MATCH(U54,AA$11:AA$139,0))</f>
        <v>0</v>
      </c>
      <c r="AQ54" s="395">
        <f ca="1">IF(OR(TYPE(AA54)&gt;1,TYPE(MATCH(AA54,I$11:I$139,0))&gt;1),0,MATCH(AA54,I$11:I$139,0))+IF(OR(TYPE(AA54)&gt;1,TYPE(MATCH(AA54,O$11:O$139,0))&gt;1),0,MATCH(AA54,O$11:O$139,0))+IF(OR(TYPE(AA54)&gt;1,TYPE(MATCH(AA54,U$11:U$139,0))&gt;1),0,MATCH(U54,U$11:U$139,0))+IF(OR(TYPE(AA54)&gt;1,TYPE(MATCH(AA54,AA55:AA$139,0))&gt;1),0,MATCH(AA54,AA55:AA$139,0))</f>
        <v>0</v>
      </c>
      <c r="AR54" s="395">
        <f t="shared" ca="1" si="14"/>
        <v>0</v>
      </c>
      <c r="BF54" s="395">
        <f t="shared" si="15"/>
        <v>44</v>
      </c>
    </row>
    <row r="55" spans="1:58" ht="12.9">
      <c r="A55" s="387">
        <f t="shared" ca="1" si="16"/>
        <v>3</v>
      </c>
      <c r="B55" s="387">
        <f t="shared" ca="1" si="17"/>
        <v>1</v>
      </c>
      <c r="C55" s="387">
        <f t="shared" ca="1" si="18"/>
        <v>59.284999999999997</v>
      </c>
      <c r="D55" s="387">
        <f t="shared" ca="1" si="19"/>
        <v>670</v>
      </c>
      <c r="E55" s="387">
        <f t="shared" ca="1" si="20"/>
        <v>215</v>
      </c>
      <c r="F55" s="417" t="str">
        <f t="shared" ca="1" si="21"/>
        <v>01000000000000000000532422</v>
      </c>
      <c r="G55" s="453" t="b">
        <f t="shared" ca="1" si="22"/>
        <v>0</v>
      </c>
      <c r="H55" s="454">
        <f t="shared" si="23"/>
        <v>45</v>
      </c>
      <c r="I55" s="455">
        <f t="shared" ca="1" si="24"/>
        <v>23257</v>
      </c>
      <c r="J55" s="456" t="str">
        <f ca="1">IF(N(I55)&gt;0,VLOOKUP(I55,Hraci!$A$1:$I$1500,2,0),IF(TYPE(INDIRECT(ADDRESS(ROW() + $A$9-9 + (ROW()-11)*4,2,1,1,"Internet")))&gt;1,INDIRECT(ADDRESS(ROW() + $A$9-9 + (ROW()-11)*4,2,1,1,"Internet"))," "))</f>
        <v>Lujková</v>
      </c>
      <c r="K55" s="457" t="str">
        <f ca="1">IF(N(I55)&gt;0,VLOOKUP(I55,Hraci!$A$1:$I$1500,3,0)," ")</f>
        <v>Klára</v>
      </c>
      <c r="L55" s="457" t="str">
        <f ca="1">IF(N(I55)&gt;0,VLOOKUP(I55,Hraci!$A$1:$I$1500,5,0),IF(TYPE(INDIRECT(ADDRESS(ROW() + $A$9-9 + (ROW()-11)*4,3,1,1,"Internet")))&gt;1,INDIRECT(ADDRESS(ROW() + $A$9-9 + (ROW()-11)*4,3,1,1,"Internet"))," "))</f>
        <v>PSK Jihlava</v>
      </c>
      <c r="M55" s="395">
        <f ca="1">IF(N(I55)=0,9999,VLOOKUP(I55,Hraci!$A$1:$I$1500,8,0))</f>
        <v>216</v>
      </c>
      <c r="N55" s="458">
        <f ca="1">IF(N(I55)=0,0,VLOOKUP(I55,Hraci!$A$1:$I$1500,9,0))</f>
        <v>20.314</v>
      </c>
      <c r="O55" s="455">
        <f t="shared" ca="1" si="25"/>
        <v>23256</v>
      </c>
      <c r="P55" s="456" t="str">
        <f ca="1">IF(N(O55)&gt;0,VLOOKUP(O55,Hraci!$A$1:$I$1500,2,0),IF(TYPE(INDIRECT(ADDRESS(ROW() + $A$9-8 + (ROW()-11)*4,2,1,1,"Internet")))&gt;1,INDIRECT(ADDRESS(ROW() + $A$9-8 + (ROW()-11)*4,2,1,1,"Internet"))," "))</f>
        <v>Krupica</v>
      </c>
      <c r="Q55" s="457" t="str">
        <f ca="1">IF(N(O55)&gt;0,VLOOKUP(O55,Hraci!$A$1:$I$1500,3,0)," ")</f>
        <v>František</v>
      </c>
      <c r="R55" s="457" t="str">
        <f ca="1">IF(N(O55)&gt;0,VLOOKUP(O55,Hraci!$A$1:$I$1500,5,0),IF(TYPE(INDIRECT(ADDRESS(ROW() + $A$9-8 + (ROW()-11)*4,3,1,1,"Internet")))&gt;1,INDIRECT(ADDRESS(ROW() + $A$9-8 + (ROW()-11)*4,3,1,1,"Internet"))," "))</f>
        <v>PSK Jihlava</v>
      </c>
      <c r="S55" s="395">
        <f ca="1">IF(N(O55)=0,9999,VLOOKUP(O55,Hraci!$A$1:$I$1500,8,0))</f>
        <v>215</v>
      </c>
      <c r="T55" s="458">
        <f ca="1">IF(N(O55)=0,0,VLOOKUP(O55,Hraci!$A$1:$I$1500,9,0))</f>
        <v>20.314</v>
      </c>
      <c r="U55" s="455">
        <f t="shared" ca="1" si="26"/>
        <v>20602</v>
      </c>
      <c r="V55" s="456" t="str">
        <f ca="1">IF(N(U55)&gt;0,VLOOKUP(U55,Hraci!$A$1:$I$1500,2,0),IF(TYPE(INDIRECT(ADDRESS(ROW() + $A$9-7 + (ROW()-11)*4,2,1,1,"Internet")))&gt;1,INDIRECT(ADDRESS(ROW() + $A$9-7 + (ROW()-11)*4,2,1,1,"Internet"))," "))</f>
        <v>Flek</v>
      </c>
      <c r="W55" s="457" t="str">
        <f ca="1">IF(N(U55)&gt;0,VLOOKUP(U55,Hraci!$A$1:$I$1500,3,0)," ")</f>
        <v>Vratislav</v>
      </c>
      <c r="X55" s="457" t="str">
        <f ca="1">IF(N(U55)&gt;0,VLOOKUP(U55,Hraci!$A$1:$I$1500,5,0),IF(TYPE(INDIRECT(ADDRESS(ROW() + $A$9-7 + (ROW()-11)*4,3,1,1,"Internet")))&gt;1,INDIRECT(ADDRESS(ROW() + $A$9-7 + (ROW()-11)*4,3,1,1,"Internet"))," "))</f>
        <v>PSK Jihlava</v>
      </c>
      <c r="Y55" s="395">
        <f ca="1">IF(N(U55)=0,9999,VLOOKUP(U55,Hraci!$A$1:$I$1500,8,0))</f>
        <v>239</v>
      </c>
      <c r="Z55" s="458">
        <f ca="1">IF(N(U55)=0,0,VLOOKUP(U55,Hraci!$A$1:$I$1500,9,0))</f>
        <v>18.657</v>
      </c>
      <c r="AA55" s="455" t="str">
        <f t="shared" ca="1" si="27"/>
        <v/>
      </c>
      <c r="AB55" s="456" t="str">
        <f ca="1">IF(N(AA55)&gt;0,VLOOKUP(AA55,Hraci!$A$1:$I$1500,2,0)," ")</f>
        <v xml:space="preserve"> </v>
      </c>
      <c r="AC55" s="457" t="str">
        <f ca="1">IF(N(AA55)&gt;0,VLOOKUP(AA55,Hraci!$A$1:$I$1500,3,0)," ")</f>
        <v xml:space="preserve"> </v>
      </c>
      <c r="AD55" s="457" t="str">
        <f ca="1">IF(N(AA55)&gt;0,VLOOKUP(AA55,Hraci!$A$1:$I$1500,5,0)," ")</f>
        <v xml:space="preserve"> </v>
      </c>
      <c r="AE55" s="395">
        <f ca="1">IF(N(AA55)=0,9999,VLOOKUP(AA55,Hraci!$A$1:$I$1500,8,0))</f>
        <v>9999</v>
      </c>
      <c r="AF55" s="458">
        <f ca="1">IF(N(AA55)=0,0,VLOOKUP(AA55,Hraci!$A$1:$I$1500,9,0))</f>
        <v>0</v>
      </c>
      <c r="AG55" s="459"/>
      <c r="AH55" s="465">
        <v>48</v>
      </c>
      <c r="AI55" s="460">
        <f ca="1">IF(N($AH55)&gt;0,VLOOKUP($AH55,Body!$A$4:$F$259,5,0),"")</f>
        <v>19.037218750000001</v>
      </c>
      <c r="AJ55" s="461">
        <f ca="1">IF(N($AH55)&gt;0,VLOOKUP($AH55,Body!$A$4:$F$259,6,0),"")</f>
        <v>0</v>
      </c>
      <c r="AK55" s="460">
        <f ca="1">IF(N($AH55)&gt;0,VLOOKUP($AH55,Body!$A$4:$F$259,2,0),"")</f>
        <v>0.5</v>
      </c>
      <c r="AL55" s="462" t="str">
        <f t="shared" ca="1" si="28"/>
        <v>45 PSK Jihlava - Lujková Klára</v>
      </c>
      <c r="AM55" s="463">
        <f t="shared" ca="1" si="29"/>
        <v>59.284999999999997</v>
      </c>
      <c r="AN55" s="395">
        <f ca="1">IF(OR(TYPE(I55)&gt;1,TYPE(MATCH(I55,I56:I$139,0))&gt;1),0,MATCH(I55,I56:I$139,0))+IF(OR(TYPE(I55)&gt;1,TYPE(MATCH(I55,O$11:O$139,0))&gt;1),0,MATCH(I55,O$11:O$139,0))+IF(OR(TYPE(I55)&gt;1,TYPE(MATCH(I55,U$11:U$139,0))&gt;1),0,MATCH(I55,U$11:U$139,0))+IF(OR(TYPE(I55)&gt;1,TYPE(MATCH(I55,AA$11:AA$139,0))&gt;1),0,MATCH(I55,AA$11:AA$139,0))</f>
        <v>0</v>
      </c>
      <c r="AO55" s="395">
        <f ca="1">IF(OR(TYPE(O55)&gt;1,TYPE(MATCH(O55,I$11:I$139,0))&gt;1),0,MATCH(O55,I$11:I$139,0))+IF(OR(TYPE(O55)&gt;1,TYPE(MATCH(O55,O56:O$139,0))&gt;1),0,MATCH(O55,O56:O$139,0))+IF(OR(TYPE(O55)&gt;1,TYPE(MATCH(O55,U$11:U$139,0))&gt;1),0,MATCH(O55,U$11:U$139,0))+IF(OR(TYPE(O55)&gt;1,TYPE(MATCH(O55,AA$11:AA$139,0))&gt;1),0,MATCH(O55,AA$11:AA$139,0))</f>
        <v>0</v>
      </c>
      <c r="AP55" s="395">
        <f ca="1">IF(OR(TYPE(U55)&gt;1,TYPE(MATCH(U55,I$11:I$139,0))&gt;1),0,MATCH(U55,I$11:I$139,0))+IF(OR(TYPE(U55)&gt;1,TYPE(MATCH(U55,O$11:O$139,0))&gt;1),0,MATCH(U55,O$11:O$139,0))+IF(OR(TYPE(U55)&gt;1,TYPE(MATCH(U55,U56:U$139,0))&gt;1),0,MATCH(U55,U56:U$139,0))+IF(OR(TYPE(U55)&gt;1,TYPE(MATCH(U55,AA$11:AA$139,0))&gt;1),0,MATCH(U55,AA$11:AA$139,0))</f>
        <v>0</v>
      </c>
      <c r="AQ55" s="395">
        <f ca="1">IF(OR(TYPE(AA55)&gt;1,TYPE(MATCH(AA55,I$11:I$139,0))&gt;1),0,MATCH(AA55,I$11:I$139,0))+IF(OR(TYPE(AA55)&gt;1,TYPE(MATCH(AA55,O$11:O$139,0))&gt;1),0,MATCH(AA55,O$11:O$139,0))+IF(OR(TYPE(AA55)&gt;1,TYPE(MATCH(AA55,U$11:U$139,0))&gt;1),0,MATCH(U55,U$11:U$139,0))+IF(OR(TYPE(AA55)&gt;1,TYPE(MATCH(AA55,AA56:AA$139,0))&gt;1),0,MATCH(AA55,AA56:AA$139,0))</f>
        <v>0</v>
      </c>
      <c r="AR55" s="395">
        <f t="shared" ca="1" si="14"/>
        <v>0</v>
      </c>
      <c r="BF55" s="395">
        <f t="shared" si="15"/>
        <v>45</v>
      </c>
    </row>
    <row r="56" spans="1:58" ht="12.9">
      <c r="A56" s="387">
        <f t="shared" ca="1" si="16"/>
        <v>3</v>
      </c>
      <c r="B56" s="387">
        <f t="shared" ca="1" si="17"/>
        <v>1</v>
      </c>
      <c r="C56" s="387">
        <f t="shared" ca="1" si="18"/>
        <v>58.189000000000007</v>
      </c>
      <c r="D56" s="387">
        <f t="shared" ca="1" si="19"/>
        <v>406</v>
      </c>
      <c r="E56" s="387">
        <f t="shared" ca="1" si="20"/>
        <v>91</v>
      </c>
      <c r="F56" s="417" t="str">
        <f t="shared" ca="1" si="21"/>
        <v>01000000000000000000792839</v>
      </c>
      <c r="G56" s="453" t="b">
        <f t="shared" ca="1" si="22"/>
        <v>0</v>
      </c>
      <c r="H56" s="454">
        <f t="shared" si="23"/>
        <v>46</v>
      </c>
      <c r="I56" s="455">
        <f t="shared" ca="1" si="24"/>
        <v>25003</v>
      </c>
      <c r="J56" s="456" t="str">
        <f ca="1">IF(N(I56)&gt;0,VLOOKUP(I56,Hraci!$A$1:$I$1500,2,0),IF(TYPE(INDIRECT(ADDRESS(ROW() + $A$9-9 + (ROW()-11)*4,2,1,1,"Internet")))&gt;1,INDIRECT(ADDRESS(ROW() + $A$9-9 + (ROW()-11)*4,2,1,1,"Internet"))," "))</f>
        <v>Horáčková</v>
      </c>
      <c r="K56" s="457" t="str">
        <f ca="1">IF(N(I56)&gt;0,VLOOKUP(I56,Hraci!$A$1:$I$1500,3,0)," ")</f>
        <v>Simona</v>
      </c>
      <c r="L56" s="457" t="str">
        <f ca="1">IF(N(I56)&gt;0,VLOOKUP(I56,Hraci!$A$1:$I$1500,5,0),IF(TYPE(INDIRECT(ADDRESS(ROW() + $A$9-9 + (ROW()-11)*4,3,1,1,"Internet")))&gt;1,INDIRECT(ADDRESS(ROW() + $A$9-9 + (ROW()-11)*4,3,1,1,"Internet"))," "))</f>
        <v>SK Sahara Vědomice</v>
      </c>
      <c r="M56" s="395">
        <f ca="1">IF(N(I56)=0,9999,VLOOKUP(I56,Hraci!$A$1:$I$1500,8,0))</f>
        <v>91</v>
      </c>
      <c r="N56" s="458">
        <f ca="1">IF(N(I56)=0,0,VLOOKUP(I56,Hraci!$A$1:$I$1500,9,0))</f>
        <v>24.626000000000001</v>
      </c>
      <c r="O56" s="455">
        <f t="shared" ca="1" si="25"/>
        <v>11006</v>
      </c>
      <c r="P56" s="456" t="str">
        <f ca="1">IF(N(O56)&gt;0,VLOOKUP(O56,Hraci!$A$1:$I$1500,2,0),IF(TYPE(INDIRECT(ADDRESS(ROW() + $A$9-8 + (ROW()-11)*4,2,1,1,"Internet")))&gt;1,INDIRECT(ADDRESS(ROW() + $A$9-8 + (ROW()-11)*4,2,1,1,"Internet"))," "))</f>
        <v>Kulhánek</v>
      </c>
      <c r="Q56" s="457" t="str">
        <f ca="1">IF(N(O56)&gt;0,VLOOKUP(O56,Hraci!$A$1:$I$1500,3,0)," ")</f>
        <v>Milan</v>
      </c>
      <c r="R56" s="457" t="str">
        <f ca="1">IF(N(O56)&gt;0,VLOOKUP(O56,Hraci!$A$1:$I$1500,5,0),IF(TYPE(INDIRECT(ADDRESS(ROW() + $A$9-8 + (ROW()-11)*4,3,1,1,"Internet")))&gt;1,INDIRECT(ADDRESS(ROW() + $A$9-8 + (ROW()-11)*4,3,1,1,"Internet"))," "))</f>
        <v>SK Sahara Vědomice</v>
      </c>
      <c r="S56" s="395">
        <f ca="1">IF(N(O56)=0,9999,VLOOKUP(O56,Hraci!$A$1:$I$1500,8,0))</f>
        <v>109</v>
      </c>
      <c r="T56" s="458">
        <f ca="1">IF(N(O56)=0,0,VLOOKUP(O56,Hraci!$A$1:$I$1500,9,0))</f>
        <v>21.375</v>
      </c>
      <c r="U56" s="455">
        <f t="shared" ca="1" si="26"/>
        <v>15059</v>
      </c>
      <c r="V56" s="456" t="str">
        <f ca="1">IF(N(U56)&gt;0,VLOOKUP(U56,Hraci!$A$1:$I$1500,2,0),IF(TYPE(INDIRECT(ADDRESS(ROW() + $A$9-7 + (ROW()-11)*4,2,1,1,"Internet")))&gt;1,INDIRECT(ADDRESS(ROW() + $A$9-7 + (ROW()-11)*4,2,1,1,"Internet"))," "))</f>
        <v>Gröschl</v>
      </c>
      <c r="W56" s="457" t="str">
        <f ca="1">IF(N(U56)&gt;0,VLOOKUP(U56,Hraci!$A$1:$I$1500,3,0)," ")</f>
        <v>Zdeněk</v>
      </c>
      <c r="X56" s="457" t="str">
        <f ca="1">IF(N(U56)&gt;0,VLOOKUP(U56,Hraci!$A$1:$I$1500,5,0),IF(TYPE(INDIRECT(ADDRESS(ROW() + $A$9-7 + (ROW()-11)*4,3,1,1,"Internet")))&gt;1,INDIRECT(ADDRESS(ROW() + $A$9-7 + (ROW()-11)*4,3,1,1,"Internet"))," "))</f>
        <v>SK Sahara Vědomice</v>
      </c>
      <c r="Y56" s="395">
        <f ca="1">IF(N(U56)=0,9999,VLOOKUP(U56,Hraci!$A$1:$I$1500,8,0))</f>
        <v>206</v>
      </c>
      <c r="Z56" s="458">
        <f ca="1">IF(N(U56)=0,0,VLOOKUP(U56,Hraci!$A$1:$I$1500,9,0))</f>
        <v>12.188000000000001</v>
      </c>
      <c r="AA56" s="455" t="str">
        <f t="shared" ca="1" si="27"/>
        <v/>
      </c>
      <c r="AB56" s="456" t="str">
        <f ca="1">IF(N(AA56)&gt;0,VLOOKUP(AA56,Hraci!$A$1:$I$1500,2,0)," ")</f>
        <v xml:space="preserve"> </v>
      </c>
      <c r="AC56" s="457" t="str">
        <f ca="1">IF(N(AA56)&gt;0,VLOOKUP(AA56,Hraci!$A$1:$I$1500,3,0)," ")</f>
        <v xml:space="preserve"> </v>
      </c>
      <c r="AD56" s="457" t="str">
        <f ca="1">IF(N(AA56)&gt;0,VLOOKUP(AA56,Hraci!$A$1:$I$1500,5,0)," ")</f>
        <v xml:space="preserve"> </v>
      </c>
      <c r="AE56" s="395">
        <f ca="1">IF(N(AA56)=0,9999,VLOOKUP(AA56,Hraci!$A$1:$I$1500,8,0))</f>
        <v>9999</v>
      </c>
      <c r="AF56" s="458">
        <f ca="1">IF(N(AA56)=0,0,VLOOKUP(AA56,Hraci!$A$1:$I$1500,9,0))</f>
        <v>0</v>
      </c>
      <c r="AG56" s="459"/>
      <c r="AH56" s="465">
        <v>48</v>
      </c>
      <c r="AI56" s="460">
        <f ca="1">IF(N($AH56)&gt;0,VLOOKUP($AH56,Body!$A$4:$F$259,5,0),"")</f>
        <v>19.037218750000001</v>
      </c>
      <c r="AJ56" s="461">
        <f ca="1">IF(N($AH56)&gt;0,VLOOKUP($AH56,Body!$A$4:$F$259,6,0),"")</f>
        <v>0</v>
      </c>
      <c r="AK56" s="460">
        <f ca="1">IF(N($AH56)&gt;0,VLOOKUP($AH56,Body!$A$4:$F$259,2,0),"")</f>
        <v>0.5</v>
      </c>
      <c r="AL56" s="462" t="str">
        <f t="shared" ca="1" si="28"/>
        <v>46 SK Sahara Vědomice - Horáčková Simona</v>
      </c>
      <c r="AM56" s="463">
        <f t="shared" ca="1" si="29"/>
        <v>58.189000000000007</v>
      </c>
      <c r="AN56" s="395">
        <f ca="1">IF(OR(TYPE(I56)&gt;1,TYPE(MATCH(I56,I57:I$139,0))&gt;1),0,MATCH(I56,I57:I$139,0))+IF(OR(TYPE(I56)&gt;1,TYPE(MATCH(I56,O$11:O$139,0))&gt;1),0,MATCH(I56,O$11:O$139,0))+IF(OR(TYPE(I56)&gt;1,TYPE(MATCH(I56,U$11:U$139,0))&gt;1),0,MATCH(I56,U$11:U$139,0))+IF(OR(TYPE(I56)&gt;1,TYPE(MATCH(I56,AA$11:AA$139,0))&gt;1),0,MATCH(I56,AA$11:AA$139,0))</f>
        <v>0</v>
      </c>
      <c r="AO56" s="395">
        <f ca="1">IF(OR(TYPE(O56)&gt;1,TYPE(MATCH(O56,I$11:I$139,0))&gt;1),0,MATCH(O56,I$11:I$139,0))+IF(OR(TYPE(O56)&gt;1,TYPE(MATCH(O56,O57:O$139,0))&gt;1),0,MATCH(O56,O57:O$139,0))+IF(OR(TYPE(O56)&gt;1,TYPE(MATCH(O56,U$11:U$139,0))&gt;1),0,MATCH(O56,U$11:U$139,0))+IF(OR(TYPE(O56)&gt;1,TYPE(MATCH(O56,AA$11:AA$139,0))&gt;1),0,MATCH(O56,AA$11:AA$139,0))</f>
        <v>0</v>
      </c>
      <c r="AP56" s="395">
        <f ca="1">IF(OR(TYPE(U56)&gt;1,TYPE(MATCH(U56,I$11:I$139,0))&gt;1),0,MATCH(U56,I$11:I$139,0))+IF(OR(TYPE(U56)&gt;1,TYPE(MATCH(U56,O$11:O$139,0))&gt;1),0,MATCH(U56,O$11:O$139,0))+IF(OR(TYPE(U56)&gt;1,TYPE(MATCH(U56,U57:U$139,0))&gt;1),0,MATCH(U56,U57:U$139,0))+IF(OR(TYPE(U56)&gt;1,TYPE(MATCH(U56,AA$11:AA$139,0))&gt;1),0,MATCH(U56,AA$11:AA$139,0))</f>
        <v>0</v>
      </c>
      <c r="AQ56" s="395">
        <f ca="1">IF(OR(TYPE(AA56)&gt;1,TYPE(MATCH(AA56,I$11:I$139,0))&gt;1),0,MATCH(AA56,I$11:I$139,0))+IF(OR(TYPE(AA56)&gt;1,TYPE(MATCH(AA56,O$11:O$139,0))&gt;1),0,MATCH(AA56,O$11:O$139,0))+IF(OR(TYPE(AA56)&gt;1,TYPE(MATCH(AA56,U$11:U$139,0))&gt;1),0,MATCH(U56,U$11:U$139,0))+IF(OR(TYPE(AA56)&gt;1,TYPE(MATCH(AA56,AA57:AA$139,0))&gt;1),0,MATCH(AA56,AA57:AA$139,0))</f>
        <v>0</v>
      </c>
      <c r="AR56" s="395">
        <f t="shared" ca="1" si="14"/>
        <v>0</v>
      </c>
      <c r="BF56" s="395">
        <f t="shared" si="15"/>
        <v>46</v>
      </c>
    </row>
    <row r="57" spans="1:58" ht="12.9">
      <c r="A57" s="387">
        <f t="shared" ca="1" si="16"/>
        <v>3</v>
      </c>
      <c r="B57" s="387">
        <f t="shared" ca="1" si="17"/>
        <v>1</v>
      </c>
      <c r="C57" s="387">
        <f t="shared" ca="1" si="18"/>
        <v>55.283000000000001</v>
      </c>
      <c r="D57" s="387">
        <f t="shared" ca="1" si="19"/>
        <v>574</v>
      </c>
      <c r="E57" s="387">
        <f t="shared" ca="1" si="20"/>
        <v>160</v>
      </c>
      <c r="F57" s="417" t="str">
        <f t="shared" ca="1" si="21"/>
        <v>01000000000000000000192836</v>
      </c>
      <c r="G57" s="453" t="b">
        <f t="shared" ca="1" si="22"/>
        <v>0</v>
      </c>
      <c r="H57" s="454">
        <f t="shared" si="23"/>
        <v>47</v>
      </c>
      <c r="I57" s="455">
        <f t="shared" ca="1" si="24"/>
        <v>19067</v>
      </c>
      <c r="J57" s="456" t="str">
        <f ca="1">IF(N(I57)&gt;0,VLOOKUP(I57,Hraci!$A$1:$I$1500,2,0),IF(TYPE(INDIRECT(ADDRESS(ROW() + $A$9-9 + (ROW()-11)*4,2,1,1,"Internet")))&gt;1,INDIRECT(ADDRESS(ROW() + $A$9-9 + (ROW()-11)*4,2,1,1,"Internet"))," "))</f>
        <v>Petrželka</v>
      </c>
      <c r="K57" s="457" t="str">
        <f ca="1">IF(N(I57)&gt;0,VLOOKUP(I57,Hraci!$A$1:$I$1500,3,0)," ")</f>
        <v>Josef</v>
      </c>
      <c r="L57" s="457" t="str">
        <f ca="1">IF(N(I57)&gt;0,VLOOKUP(I57,Hraci!$A$1:$I$1500,5,0),IF(TYPE(INDIRECT(ADDRESS(ROW() + $A$9-9 + (ROW()-11)*4,3,1,1,"Internet")))&gt;1,INDIRECT(ADDRESS(ROW() + $A$9-9 + (ROW()-11)*4,3,1,1,"Internet"))," "))</f>
        <v>1. Starobrněnský PK</v>
      </c>
      <c r="M57" s="395">
        <f ca="1">IF(N(I57)=0,9999,VLOOKUP(I57,Hraci!$A$1:$I$1500,8,0))</f>
        <v>219</v>
      </c>
      <c r="N57" s="458">
        <f ca="1">IF(N(I57)=0,0,VLOOKUP(I57,Hraci!$A$1:$I$1500,9,0))</f>
        <v>18.187999999999999</v>
      </c>
      <c r="O57" s="455">
        <f t="shared" ca="1" si="25"/>
        <v>20565</v>
      </c>
      <c r="P57" s="456" t="str">
        <f ca="1">IF(N(O57)&gt;0,VLOOKUP(O57,Hraci!$A$1:$I$1500,2,0),IF(TYPE(INDIRECT(ADDRESS(ROW() + $A$9-8 + (ROW()-11)*4,2,1,1,"Internet")))&gt;1,INDIRECT(ADDRESS(ROW() + $A$9-8 + (ROW()-11)*4,2,1,1,"Internet"))," "))</f>
        <v>Manka</v>
      </c>
      <c r="Q57" s="457" t="str">
        <f ca="1">IF(N(O57)&gt;0,VLOOKUP(O57,Hraci!$A$1:$I$1500,3,0)," ")</f>
        <v>Heinz</v>
      </c>
      <c r="R57" s="457" t="str">
        <f ca="1">IF(N(O57)&gt;0,VLOOKUP(O57,Hraci!$A$1:$I$1500,5,0),IF(TYPE(INDIRECT(ADDRESS(ROW() + $A$9-8 + (ROW()-11)*4,3,1,1,"Internet")))&gt;1,INDIRECT(ADDRESS(ROW() + $A$9-8 + (ROW()-11)*4,3,1,1,"Internet"))," "))</f>
        <v>1. Starobrněnský PK</v>
      </c>
      <c r="S57" s="395">
        <f ca="1">IF(N(O57)=0,9999,VLOOKUP(O57,Hraci!$A$1:$I$1500,8,0))</f>
        <v>195</v>
      </c>
      <c r="T57" s="458">
        <f ca="1">IF(N(O57)=0,0,VLOOKUP(O57,Hraci!$A$1:$I$1500,9,0))</f>
        <v>16.5</v>
      </c>
      <c r="U57" s="455">
        <f t="shared" ca="1" si="26"/>
        <v>19021</v>
      </c>
      <c r="V57" s="456" t="str">
        <f ca="1">IF(N(U57)&gt;0,VLOOKUP(U57,Hraci!$A$1:$I$1500,2,0),IF(TYPE(INDIRECT(ADDRESS(ROW() + $A$9-7 + (ROW()-11)*4,2,1,1,"Internet")))&gt;1,INDIRECT(ADDRESS(ROW() + $A$9-7 + (ROW()-11)*4,2,1,1,"Internet"))," "))</f>
        <v>Chodúr</v>
      </c>
      <c r="W57" s="457" t="str">
        <f ca="1">IF(N(U57)&gt;0,VLOOKUP(U57,Hraci!$A$1:$I$1500,3,0)," ")</f>
        <v>Peter</v>
      </c>
      <c r="X57" s="457" t="str">
        <f ca="1">IF(N(U57)&gt;0,VLOOKUP(U57,Hraci!$A$1:$I$1500,5,0),IF(TYPE(INDIRECT(ADDRESS(ROW() + $A$9-7 + (ROW()-11)*4,3,1,1,"Internet")))&gt;1,INDIRECT(ADDRESS(ROW() + $A$9-7 + (ROW()-11)*4,3,1,1,"Internet"))," "))</f>
        <v>HRODE KRUMSÍN</v>
      </c>
      <c r="Y57" s="395">
        <f ca="1">IF(N(U57)=0,9999,VLOOKUP(U57,Hraci!$A$1:$I$1500,8,0))</f>
        <v>160</v>
      </c>
      <c r="Z57" s="458">
        <f ca="1">IF(N(U57)=0,0,VLOOKUP(U57,Hraci!$A$1:$I$1500,9,0))</f>
        <v>20.594999999999999</v>
      </c>
      <c r="AA57" s="455" t="str">
        <f t="shared" ca="1" si="27"/>
        <v/>
      </c>
      <c r="AB57" s="456" t="str">
        <f ca="1">IF(N(AA57)&gt;0,VLOOKUP(AA57,Hraci!$A$1:$I$1500,2,0)," ")</f>
        <v xml:space="preserve"> </v>
      </c>
      <c r="AC57" s="457" t="str">
        <f ca="1">IF(N(AA57)&gt;0,VLOOKUP(AA57,Hraci!$A$1:$I$1500,3,0)," ")</f>
        <v xml:space="preserve"> </v>
      </c>
      <c r="AD57" s="457" t="str">
        <f ca="1">IF(N(AA57)&gt;0,VLOOKUP(AA57,Hraci!$A$1:$I$1500,5,0)," ")</f>
        <v xml:space="preserve"> </v>
      </c>
      <c r="AE57" s="395">
        <f ca="1">IF(N(AA57)=0,9999,VLOOKUP(AA57,Hraci!$A$1:$I$1500,8,0))</f>
        <v>9999</v>
      </c>
      <c r="AF57" s="458">
        <f ca="1">IF(N(AA57)=0,0,VLOOKUP(AA57,Hraci!$A$1:$I$1500,9,0))</f>
        <v>0</v>
      </c>
      <c r="AG57" s="459"/>
      <c r="AH57" s="465">
        <v>48</v>
      </c>
      <c r="AI57" s="460">
        <f ca="1">IF(N($AH57)&gt;0,VLOOKUP($AH57,Body!$A$4:$F$259,5,0),"")</f>
        <v>19.037218750000001</v>
      </c>
      <c r="AJ57" s="461">
        <f ca="1">IF(N($AH57)&gt;0,VLOOKUP($AH57,Body!$A$4:$F$259,6,0),"")</f>
        <v>0</v>
      </c>
      <c r="AK57" s="460">
        <f ca="1">IF(N($AH57)&gt;0,VLOOKUP($AH57,Body!$A$4:$F$259,2,0),"")</f>
        <v>0.5</v>
      </c>
      <c r="AL57" s="462" t="str">
        <f t="shared" ca="1" si="28"/>
        <v>47 1. Starobrněnský PK - Petrželka Josef</v>
      </c>
      <c r="AM57" s="463">
        <f t="shared" ca="1" si="29"/>
        <v>55.283000000000001</v>
      </c>
      <c r="AN57" s="395">
        <f ca="1">IF(OR(TYPE(I57)&gt;1,TYPE(MATCH(I57,I58:I$139,0))&gt;1),0,MATCH(I57,I58:I$139,0))+IF(OR(TYPE(I57)&gt;1,TYPE(MATCH(I57,O$11:O$139,0))&gt;1),0,MATCH(I57,O$11:O$139,0))+IF(OR(TYPE(I57)&gt;1,TYPE(MATCH(I57,U$11:U$139,0))&gt;1),0,MATCH(I57,U$11:U$139,0))+IF(OR(TYPE(I57)&gt;1,TYPE(MATCH(I57,AA$11:AA$139,0))&gt;1),0,MATCH(I57,AA$11:AA$139,0))</f>
        <v>0</v>
      </c>
      <c r="AO57" s="395">
        <f ca="1">IF(OR(TYPE(O57)&gt;1,TYPE(MATCH(O57,I$11:I$139,0))&gt;1),0,MATCH(O57,I$11:I$139,0))+IF(OR(TYPE(O57)&gt;1,TYPE(MATCH(O57,O58:O$139,0))&gt;1),0,MATCH(O57,O58:O$139,0))+IF(OR(TYPE(O57)&gt;1,TYPE(MATCH(O57,U$11:U$139,0))&gt;1),0,MATCH(O57,U$11:U$139,0))+IF(OR(TYPE(O57)&gt;1,TYPE(MATCH(O57,AA$11:AA$139,0))&gt;1),0,MATCH(O57,AA$11:AA$139,0))</f>
        <v>0</v>
      </c>
      <c r="AP57" s="395">
        <f ca="1">IF(OR(TYPE(U57)&gt;1,TYPE(MATCH(U57,I$11:I$139,0))&gt;1),0,MATCH(U57,I$11:I$139,0))+IF(OR(TYPE(U57)&gt;1,TYPE(MATCH(U57,O$11:O$139,0))&gt;1),0,MATCH(U57,O$11:O$139,0))+IF(OR(TYPE(U57)&gt;1,TYPE(MATCH(U57,U58:U$139,0))&gt;1),0,MATCH(U57,U58:U$139,0))+IF(OR(TYPE(U57)&gt;1,TYPE(MATCH(U57,AA$11:AA$139,0))&gt;1),0,MATCH(U57,AA$11:AA$139,0))</f>
        <v>0</v>
      </c>
      <c r="AQ57" s="395">
        <f ca="1">IF(OR(TYPE(AA57)&gt;1,TYPE(MATCH(AA57,I$11:I$139,0))&gt;1),0,MATCH(AA57,I$11:I$139,0))+IF(OR(TYPE(AA57)&gt;1,TYPE(MATCH(AA57,O$11:O$139,0))&gt;1),0,MATCH(AA57,O$11:O$139,0))+IF(OR(TYPE(AA57)&gt;1,TYPE(MATCH(AA57,U$11:U$139,0))&gt;1),0,MATCH(U57,U$11:U$139,0))+IF(OR(TYPE(AA57)&gt;1,TYPE(MATCH(AA57,AA58:AA$139,0))&gt;1),0,MATCH(AA57,AA58:AA$139,0))</f>
        <v>0</v>
      </c>
      <c r="AR57" s="395">
        <f t="shared" ca="1" si="14"/>
        <v>0</v>
      </c>
      <c r="BF57" s="395">
        <f t="shared" si="15"/>
        <v>47</v>
      </c>
    </row>
    <row r="58" spans="1:58" ht="12.9">
      <c r="A58" s="387">
        <f t="shared" ca="1" si="16"/>
        <v>3</v>
      </c>
      <c r="B58" s="387">
        <f t="shared" ca="1" si="17"/>
        <v>1</v>
      </c>
      <c r="C58" s="387">
        <f t="shared" ca="1" si="18"/>
        <v>53.161000000000001</v>
      </c>
      <c r="D58" s="387">
        <f t="shared" ca="1" si="19"/>
        <v>580</v>
      </c>
      <c r="E58" s="387">
        <f t="shared" ca="1" si="20"/>
        <v>135</v>
      </c>
      <c r="F58" s="417" t="str">
        <f t="shared" ca="1" si="21"/>
        <v>01000000000000000000896638</v>
      </c>
      <c r="G58" s="453" t="b">
        <f t="shared" ca="1" si="22"/>
        <v>0</v>
      </c>
      <c r="H58" s="454">
        <f t="shared" si="23"/>
        <v>48</v>
      </c>
      <c r="I58" s="455">
        <f t="shared" ca="1" si="24"/>
        <v>16075</v>
      </c>
      <c r="J58" s="456" t="str">
        <f ca="1">IF(N(I58)&gt;0,VLOOKUP(I58,Hraci!$A$1:$I$1500,2,0),IF(TYPE(INDIRECT(ADDRESS(ROW() + $A$9-9 + (ROW()-11)*4,2,1,1,"Internet")))&gt;1,INDIRECT(ADDRESS(ROW() + $A$9-9 + (ROW()-11)*4,2,1,1,"Internet"))," "))</f>
        <v>Hladík</v>
      </c>
      <c r="K58" s="457" t="str">
        <f ca="1">IF(N(I58)&gt;0,VLOOKUP(I58,Hraci!$A$1:$I$1500,3,0)," ")</f>
        <v>Jaroslav</v>
      </c>
      <c r="L58" s="457" t="str">
        <f ca="1">IF(N(I58)&gt;0,VLOOKUP(I58,Hraci!$A$1:$I$1500,5,0),IF(TYPE(INDIRECT(ADDRESS(ROW() + $A$9-9 + (ROW()-11)*4,3,1,1,"Internet")))&gt;1,INDIRECT(ADDRESS(ROW() + $A$9-9 + (ROW()-11)*4,3,1,1,"Internet"))," "))</f>
        <v>SK Pétanque Řepy</v>
      </c>
      <c r="M58" s="395">
        <f ca="1">IF(N(I58)=0,9999,VLOOKUP(I58,Hraci!$A$1:$I$1500,8,0))</f>
        <v>140</v>
      </c>
      <c r="N58" s="458">
        <f ca="1">IF(N(I58)=0,0,VLOOKUP(I58,Hraci!$A$1:$I$1500,9,0))</f>
        <v>18.940000000000001</v>
      </c>
      <c r="O58" s="455">
        <f t="shared" ca="1" si="25"/>
        <v>23222</v>
      </c>
      <c r="P58" s="456" t="str">
        <f ca="1">IF(N(O58)&gt;0,VLOOKUP(O58,Hraci!$A$1:$I$1500,2,0),IF(TYPE(INDIRECT(ADDRESS(ROW() + $A$9-8 + (ROW()-11)*4,2,1,1,"Internet")))&gt;1,INDIRECT(ADDRESS(ROW() + $A$9-8 + (ROW()-11)*4,2,1,1,"Internet"))," "))</f>
        <v>Slunečko</v>
      </c>
      <c r="Q58" s="457" t="str">
        <f ca="1">IF(N(O58)&gt;0,VLOOKUP(O58,Hraci!$A$1:$I$1500,3,0)," ")</f>
        <v>František</v>
      </c>
      <c r="R58" s="457" t="str">
        <f ca="1">IF(N(O58)&gt;0,VLOOKUP(O58,Hraci!$A$1:$I$1500,5,0),IF(TYPE(INDIRECT(ADDRESS(ROW() + $A$9-8 + (ROW()-11)*4,3,1,1,"Internet")))&gt;1,INDIRECT(ADDRESS(ROW() + $A$9-8 + (ROW()-11)*4,3,1,1,"Internet"))," "))</f>
        <v>SK Pétanque Řepy</v>
      </c>
      <c r="S58" s="395">
        <f ca="1">IF(N(O58)=0,9999,VLOOKUP(O58,Hraci!$A$1:$I$1500,8,0))</f>
        <v>305</v>
      </c>
      <c r="T58" s="458">
        <f ca="1">IF(N(O58)=0,0,VLOOKUP(O58,Hraci!$A$1:$I$1500,9,0))</f>
        <v>10.72</v>
      </c>
      <c r="U58" s="455">
        <f t="shared" ca="1" si="26"/>
        <v>16082</v>
      </c>
      <c r="V58" s="456" t="str">
        <f ca="1">IF(N(U58)&gt;0,VLOOKUP(U58,Hraci!$A$1:$I$1500,2,0),IF(TYPE(INDIRECT(ADDRESS(ROW() + $A$9-7 + (ROW()-11)*4,2,1,1,"Internet")))&gt;1,INDIRECT(ADDRESS(ROW() + $A$9-7 + (ROW()-11)*4,2,1,1,"Internet"))," "))</f>
        <v>Pastorek</v>
      </c>
      <c r="W58" s="457" t="str">
        <f ca="1">IF(N(U58)&gt;0,VLOOKUP(U58,Hraci!$A$1:$I$1500,3,0)," ")</f>
        <v>Jaroslav</v>
      </c>
      <c r="X58" s="457" t="str">
        <f ca="1">IF(N(U58)&gt;0,VLOOKUP(U58,Hraci!$A$1:$I$1500,5,0),IF(TYPE(INDIRECT(ADDRESS(ROW() + $A$9-7 + (ROW()-11)*4,3,1,1,"Internet")))&gt;1,INDIRECT(ADDRESS(ROW() + $A$9-7 + (ROW()-11)*4,3,1,1,"Internet"))," "))</f>
        <v>SK Pétanque Řepy</v>
      </c>
      <c r="Y58" s="395">
        <f ca="1">IF(N(U58)=0,9999,VLOOKUP(U58,Hraci!$A$1:$I$1500,8,0))</f>
        <v>135</v>
      </c>
      <c r="Z58" s="458">
        <f ca="1">IF(N(U58)=0,0,VLOOKUP(U58,Hraci!$A$1:$I$1500,9,0))</f>
        <v>23.501000000000001</v>
      </c>
      <c r="AA58" s="455" t="str">
        <f t="shared" ca="1" si="27"/>
        <v/>
      </c>
      <c r="AB58" s="456" t="str">
        <f ca="1">IF(N(AA58)&gt;0,VLOOKUP(AA58,Hraci!$A$1:$I$1500,2,0)," ")</f>
        <v xml:space="preserve"> </v>
      </c>
      <c r="AC58" s="457" t="str">
        <f ca="1">IF(N(AA58)&gt;0,VLOOKUP(AA58,Hraci!$A$1:$I$1500,3,0)," ")</f>
        <v xml:space="preserve"> </v>
      </c>
      <c r="AD58" s="457" t="str">
        <f ca="1">IF(N(AA58)&gt;0,VLOOKUP(AA58,Hraci!$A$1:$I$1500,5,0)," ")</f>
        <v xml:space="preserve"> </v>
      </c>
      <c r="AE58" s="395">
        <f ca="1">IF(N(AA58)=0,9999,VLOOKUP(AA58,Hraci!$A$1:$I$1500,8,0))</f>
        <v>9999</v>
      </c>
      <c r="AF58" s="458">
        <f ca="1">IF(N(AA58)=0,0,VLOOKUP(AA58,Hraci!$A$1:$I$1500,9,0))</f>
        <v>0</v>
      </c>
      <c r="AG58" s="459"/>
      <c r="AH58" s="465">
        <v>48</v>
      </c>
      <c r="AI58" s="460">
        <f ca="1">IF(N($AH58)&gt;0,VLOOKUP($AH58,Body!$A$4:$F$259,5,0),"")</f>
        <v>19.037218750000001</v>
      </c>
      <c r="AJ58" s="461">
        <f ca="1">IF(N($AH58)&gt;0,VLOOKUP($AH58,Body!$A$4:$F$259,6,0),"")</f>
        <v>0</v>
      </c>
      <c r="AK58" s="460">
        <f ca="1">IF(N($AH58)&gt;0,VLOOKUP($AH58,Body!$A$4:$F$259,2,0),"")</f>
        <v>0.5</v>
      </c>
      <c r="AL58" s="462" t="str">
        <f t="shared" ca="1" si="28"/>
        <v>48 SK Pétanque Řepy - Hladík Jaroslav</v>
      </c>
      <c r="AM58" s="463">
        <f t="shared" ca="1" si="29"/>
        <v>53.161000000000001</v>
      </c>
      <c r="AN58" s="395">
        <f ca="1">IF(OR(TYPE(I58)&gt;1,TYPE(MATCH(I58,I59:I$139,0))&gt;1),0,MATCH(I58,I59:I$139,0))+IF(OR(TYPE(I58)&gt;1,TYPE(MATCH(I58,O$11:O$139,0))&gt;1),0,MATCH(I58,O$11:O$139,0))+IF(OR(TYPE(I58)&gt;1,TYPE(MATCH(I58,U$11:U$139,0))&gt;1),0,MATCH(I58,U$11:U$139,0))+IF(OR(TYPE(I58)&gt;1,TYPE(MATCH(I58,AA$11:AA$139,0))&gt;1),0,MATCH(I58,AA$11:AA$139,0))</f>
        <v>0</v>
      </c>
      <c r="AO58" s="395">
        <f ca="1">IF(OR(TYPE(O58)&gt;1,TYPE(MATCH(O58,I$11:I$139,0))&gt;1),0,MATCH(O58,I$11:I$139,0))+IF(OR(TYPE(O58)&gt;1,TYPE(MATCH(O58,O59:O$139,0))&gt;1),0,MATCH(O58,O59:O$139,0))+IF(OR(TYPE(O58)&gt;1,TYPE(MATCH(O58,U$11:U$139,0))&gt;1),0,MATCH(O58,U$11:U$139,0))+IF(OR(TYPE(O58)&gt;1,TYPE(MATCH(O58,AA$11:AA$139,0))&gt;1),0,MATCH(O58,AA$11:AA$139,0))</f>
        <v>0</v>
      </c>
      <c r="AP58" s="395">
        <f ca="1">IF(OR(TYPE(U58)&gt;1,TYPE(MATCH(U58,I$11:I$139,0))&gt;1),0,MATCH(U58,I$11:I$139,0))+IF(OR(TYPE(U58)&gt;1,TYPE(MATCH(U58,O$11:O$139,0))&gt;1),0,MATCH(U58,O$11:O$139,0))+IF(OR(TYPE(U58)&gt;1,TYPE(MATCH(U58,U59:U$139,0))&gt;1),0,MATCH(U58,U59:U$139,0))+IF(OR(TYPE(U58)&gt;1,TYPE(MATCH(U58,AA$11:AA$139,0))&gt;1),0,MATCH(U58,AA$11:AA$139,0))</f>
        <v>0</v>
      </c>
      <c r="AQ58" s="395">
        <f ca="1">IF(OR(TYPE(AA58)&gt;1,TYPE(MATCH(AA58,I$11:I$139,0))&gt;1),0,MATCH(AA58,I$11:I$139,0))+IF(OR(TYPE(AA58)&gt;1,TYPE(MATCH(AA58,O$11:O$139,0))&gt;1),0,MATCH(AA58,O$11:O$139,0))+IF(OR(TYPE(AA58)&gt;1,TYPE(MATCH(AA58,U$11:U$139,0))&gt;1),0,MATCH(U58,U$11:U$139,0))+IF(OR(TYPE(AA58)&gt;1,TYPE(MATCH(AA58,AA59:AA$139,0))&gt;1),0,MATCH(AA58,AA59:AA$139,0))</f>
        <v>0</v>
      </c>
      <c r="AR58" s="395">
        <f t="shared" ca="1" si="14"/>
        <v>0</v>
      </c>
      <c r="BF58" s="395">
        <f t="shared" si="15"/>
        <v>48</v>
      </c>
    </row>
    <row r="59" spans="1:58" ht="12.9">
      <c r="A59" s="387">
        <f t="shared" ca="1" si="16"/>
        <v>3</v>
      </c>
      <c r="B59" s="387">
        <f t="shared" ca="1" si="17"/>
        <v>1</v>
      </c>
      <c r="C59" s="387">
        <f t="shared" ca="1" si="18"/>
        <v>52.847000000000001</v>
      </c>
      <c r="D59" s="387">
        <f t="shared" ca="1" si="19"/>
        <v>702</v>
      </c>
      <c r="E59" s="387">
        <f t="shared" ca="1" si="20"/>
        <v>199</v>
      </c>
      <c r="F59" s="417" t="str">
        <f t="shared" ca="1" si="21"/>
        <v>01000000000000000000154557</v>
      </c>
      <c r="G59" s="453" t="b">
        <f t="shared" ca="1" si="22"/>
        <v>0</v>
      </c>
      <c r="H59" s="454">
        <f t="shared" si="23"/>
        <v>49</v>
      </c>
      <c r="I59" s="455">
        <f t="shared" ca="1" si="24"/>
        <v>14021</v>
      </c>
      <c r="J59" s="456" t="str">
        <f ca="1">IF(N(I59)&gt;0,VLOOKUP(I59,Hraci!$A$1:$I$1500,2,0),IF(TYPE(INDIRECT(ADDRESS(ROW() + $A$9-9 + (ROW()-11)*4,2,1,1,"Internet")))&gt;1,INDIRECT(ADDRESS(ROW() + $A$9-9 + (ROW()-11)*4,2,1,1,"Internet"))," "))</f>
        <v>Grepl</v>
      </c>
      <c r="K59" s="457" t="str">
        <f ca="1">IF(N(I59)&gt;0,VLOOKUP(I59,Hraci!$A$1:$I$1500,3,0)," ")</f>
        <v>Zbyněk</v>
      </c>
      <c r="L59" s="457" t="str">
        <f ca="1">IF(N(I59)&gt;0,VLOOKUP(I59,Hraci!$A$1:$I$1500,5,0),IF(TYPE(INDIRECT(ADDRESS(ROW() + $A$9-9 + (ROW()-11)*4,3,1,1,"Internet")))&gt;1,INDIRECT(ADDRESS(ROW() + $A$9-9 + (ROW()-11)*4,3,1,1,"Internet"))," "))</f>
        <v>PK Polouvsí</v>
      </c>
      <c r="M59" s="395">
        <f ca="1">IF(N(I59)=0,9999,VLOOKUP(I59,Hraci!$A$1:$I$1500,8,0))</f>
        <v>268</v>
      </c>
      <c r="N59" s="458">
        <f ca="1">IF(N(I59)=0,0,VLOOKUP(I59,Hraci!$A$1:$I$1500,9,0))</f>
        <v>14.845000000000001</v>
      </c>
      <c r="O59" s="455">
        <f t="shared" ca="1" si="25"/>
        <v>21036</v>
      </c>
      <c r="P59" s="456" t="str">
        <f ca="1">IF(N(O59)&gt;0,VLOOKUP(O59,Hraci!$A$1:$I$1500,2,0),IF(TYPE(INDIRECT(ADDRESS(ROW() + $A$9-8 + (ROW()-11)*4,2,1,1,"Internet")))&gt;1,INDIRECT(ADDRESS(ROW() + $A$9-8 + (ROW()-11)*4,2,1,1,"Internet"))," "))</f>
        <v>Vrzal</v>
      </c>
      <c r="Q59" s="457" t="str">
        <f ca="1">IF(N(O59)&gt;0,VLOOKUP(O59,Hraci!$A$1:$I$1500,3,0)," ")</f>
        <v>Martin</v>
      </c>
      <c r="R59" s="457" t="str">
        <f ca="1">IF(N(O59)&gt;0,VLOOKUP(O59,Hraci!$A$1:$I$1500,5,0),IF(TYPE(INDIRECT(ADDRESS(ROW() + $A$9-8 + (ROW()-11)*4,3,1,1,"Internet")))&gt;1,INDIRECT(ADDRESS(ROW() + $A$9-8 + (ROW()-11)*4,3,1,1,"Internet"))," "))</f>
        <v>PK Polouvsí</v>
      </c>
      <c r="S59" s="395">
        <f ca="1">IF(N(O59)=0,9999,VLOOKUP(O59,Hraci!$A$1:$I$1500,8,0))</f>
        <v>199</v>
      </c>
      <c r="T59" s="458">
        <f ca="1">IF(N(O59)=0,0,VLOOKUP(O59,Hraci!$A$1:$I$1500,9,0))</f>
        <v>20.437999999999999</v>
      </c>
      <c r="U59" s="455">
        <f t="shared" ca="1" si="26"/>
        <v>21007</v>
      </c>
      <c r="V59" s="456" t="str">
        <f ca="1">IF(N(U59)&gt;0,VLOOKUP(U59,Hraci!$A$1:$I$1500,2,0),IF(TYPE(INDIRECT(ADDRESS(ROW() + $A$9-7 + (ROW()-11)*4,2,1,1,"Internet")))&gt;1,INDIRECT(ADDRESS(ROW() + $A$9-7 + (ROW()-11)*4,2,1,1,"Internet"))," "))</f>
        <v>Seredová</v>
      </c>
      <c r="W59" s="457" t="str">
        <f ca="1">IF(N(U59)&gt;0,VLOOKUP(U59,Hraci!$A$1:$I$1500,3,0)," ")</f>
        <v>Lucie</v>
      </c>
      <c r="X59" s="457" t="str">
        <f ca="1">IF(N(U59)&gt;0,VLOOKUP(U59,Hraci!$A$1:$I$1500,5,0),IF(TYPE(INDIRECT(ADDRESS(ROW() + $A$9-7 + (ROW()-11)*4,3,1,1,"Internet")))&gt;1,INDIRECT(ADDRESS(ROW() + $A$9-7 + (ROW()-11)*4,3,1,1,"Internet"))," "))</f>
        <v>FENYX Adamov</v>
      </c>
      <c r="Y59" s="395">
        <f ca="1">IF(N(U59)=0,9999,VLOOKUP(U59,Hraci!$A$1:$I$1500,8,0))</f>
        <v>235</v>
      </c>
      <c r="Z59" s="458">
        <f ca="1">IF(N(U59)=0,0,VLOOKUP(U59,Hraci!$A$1:$I$1500,9,0))</f>
        <v>17.564</v>
      </c>
      <c r="AA59" s="455" t="str">
        <f t="shared" ca="1" si="27"/>
        <v/>
      </c>
      <c r="AB59" s="456" t="str">
        <f ca="1">IF(N(AA59)&gt;0,VLOOKUP(AA59,Hraci!$A$1:$I$1500,2,0)," ")</f>
        <v xml:space="preserve"> </v>
      </c>
      <c r="AC59" s="457" t="str">
        <f ca="1">IF(N(AA59)&gt;0,VLOOKUP(AA59,Hraci!$A$1:$I$1500,3,0)," ")</f>
        <v xml:space="preserve"> </v>
      </c>
      <c r="AD59" s="457" t="str">
        <f ca="1">IF(N(AA59)&gt;0,VLOOKUP(AA59,Hraci!$A$1:$I$1500,5,0)," ")</f>
        <v xml:space="preserve"> </v>
      </c>
      <c r="AE59" s="395">
        <f ca="1">IF(N(AA59)=0,9999,VLOOKUP(AA59,Hraci!$A$1:$I$1500,8,0))</f>
        <v>9999</v>
      </c>
      <c r="AF59" s="458">
        <f ca="1">IF(N(AA59)=0,0,VLOOKUP(AA59,Hraci!$A$1:$I$1500,9,0))</f>
        <v>0</v>
      </c>
      <c r="AG59" s="459"/>
      <c r="AH59" s="465">
        <f ca="1">IF(TYPE(VLOOKUP(H59,Nasazení!$A$3:$E$130,5,0))&lt;4,VLOOKUP(H59,Nasazení!$A$3:$E$130,5,0),0)</f>
        <v>59</v>
      </c>
      <c r="AI59" s="460">
        <f ca="1">IF(N($AH59)&gt;0,VLOOKUP($AH59,Body!$A$4:$F$259,5,0),"")</f>
        <v>1</v>
      </c>
      <c r="AJ59" s="461">
        <f ca="1">IF(N($AH59)&gt;0,VLOOKUP($AH59,Body!$A$4:$F$259,6,0),"")</f>
        <v>0</v>
      </c>
      <c r="AK59" s="460">
        <f ca="1">IF(N($AH59)&gt;0,VLOOKUP($AH59,Body!$A$4:$F$259,2,0),"")</f>
        <v>0</v>
      </c>
      <c r="AL59" s="462" t="str">
        <f t="shared" ca="1" si="28"/>
        <v>49 PK Polouvsí - Grepl Zbyněk</v>
      </c>
      <c r="AM59" s="463">
        <f t="shared" ca="1" si="29"/>
        <v>52.847000000000001</v>
      </c>
      <c r="AN59" s="395">
        <f ca="1">IF(OR(TYPE(I59)&gt;1,TYPE(MATCH(I59,I60:I$139,0))&gt;1),0,MATCH(I59,I60:I$139,0))+IF(OR(TYPE(I59)&gt;1,TYPE(MATCH(I59,O$11:O$139,0))&gt;1),0,MATCH(I59,O$11:O$139,0))+IF(OR(TYPE(I59)&gt;1,TYPE(MATCH(I59,U$11:U$139,0))&gt;1),0,MATCH(I59,U$11:U$139,0))+IF(OR(TYPE(I59)&gt;1,TYPE(MATCH(I59,AA$11:AA$139,0))&gt;1),0,MATCH(I59,AA$11:AA$139,0))</f>
        <v>0</v>
      </c>
      <c r="AO59" s="395">
        <f ca="1">IF(OR(TYPE(O59)&gt;1,TYPE(MATCH(O59,I$11:I$139,0))&gt;1),0,MATCH(O59,I$11:I$139,0))+IF(OR(TYPE(O59)&gt;1,TYPE(MATCH(O59,O60:O$139,0))&gt;1),0,MATCH(O59,O60:O$139,0))+IF(OR(TYPE(O59)&gt;1,TYPE(MATCH(O59,U$11:U$139,0))&gt;1),0,MATCH(O59,U$11:U$139,0))+IF(OR(TYPE(O59)&gt;1,TYPE(MATCH(O59,AA$11:AA$139,0))&gt;1),0,MATCH(O59,AA$11:AA$139,0))</f>
        <v>0</v>
      </c>
      <c r="AP59" s="395">
        <f ca="1">IF(OR(TYPE(U59)&gt;1,TYPE(MATCH(U59,I$11:I$139,0))&gt;1),0,MATCH(U59,I$11:I$139,0))+IF(OR(TYPE(U59)&gt;1,TYPE(MATCH(U59,O$11:O$139,0))&gt;1),0,MATCH(U59,O$11:O$139,0))+IF(OR(TYPE(U59)&gt;1,TYPE(MATCH(U59,U60:U$139,0))&gt;1),0,MATCH(U59,U60:U$139,0))+IF(OR(TYPE(U59)&gt;1,TYPE(MATCH(U59,AA$11:AA$139,0))&gt;1),0,MATCH(U59,AA$11:AA$139,0))</f>
        <v>0</v>
      </c>
      <c r="AQ59" s="395">
        <f ca="1">IF(OR(TYPE(AA59)&gt;1,TYPE(MATCH(AA59,I$11:I$139,0))&gt;1),0,MATCH(AA59,I$11:I$139,0))+IF(OR(TYPE(AA59)&gt;1,TYPE(MATCH(AA59,O$11:O$139,0))&gt;1),0,MATCH(AA59,O$11:O$139,0))+IF(OR(TYPE(AA59)&gt;1,TYPE(MATCH(AA59,U$11:U$139,0))&gt;1),0,MATCH(U59,U$11:U$139,0))+IF(OR(TYPE(AA59)&gt;1,TYPE(MATCH(AA59,AA60:AA$139,0))&gt;1),0,MATCH(AA59,AA60:AA$139,0))</f>
        <v>0</v>
      </c>
      <c r="AR59" s="395">
        <f t="shared" ca="1" si="14"/>
        <v>0</v>
      </c>
      <c r="BF59" s="395">
        <f t="shared" si="15"/>
        <v>49</v>
      </c>
    </row>
    <row r="60" spans="1:58" ht="12.9">
      <c r="A60" s="387">
        <f t="shared" ca="1" si="16"/>
        <v>3</v>
      </c>
      <c r="B60" s="387">
        <f t="shared" ca="1" si="17"/>
        <v>1</v>
      </c>
      <c r="C60" s="387">
        <f t="shared" ca="1" si="18"/>
        <v>47.875999999999998</v>
      </c>
      <c r="D60" s="387">
        <f t="shared" ca="1" si="19"/>
        <v>668</v>
      </c>
      <c r="E60" s="387">
        <f t="shared" ca="1" si="20"/>
        <v>119</v>
      </c>
      <c r="F60" s="417" t="str">
        <f t="shared" ca="1" si="21"/>
        <v>01000000000000000000473925</v>
      </c>
      <c r="G60" s="453" t="b">
        <f t="shared" ca="1" si="22"/>
        <v>0</v>
      </c>
      <c r="H60" s="454">
        <f t="shared" si="23"/>
        <v>50</v>
      </c>
      <c r="I60" s="455">
        <f t="shared" ca="1" si="24"/>
        <v>18064</v>
      </c>
      <c r="J60" s="456" t="str">
        <f ca="1">IF(N(I60)&gt;0,VLOOKUP(I60,Hraci!$A$1:$I$1500,2,0),IF(TYPE(INDIRECT(ADDRESS(ROW() + $A$9-9 + (ROW()-11)*4,2,1,1,"Internet")))&gt;1,INDIRECT(ADDRESS(ROW() + $A$9-9 + (ROW()-11)*4,2,1,1,"Internet"))," "))</f>
        <v>Rusek</v>
      </c>
      <c r="K60" s="457" t="str">
        <f ca="1">IF(N(I60)&gt;0,VLOOKUP(I60,Hraci!$A$1:$I$1500,3,0)," ")</f>
        <v>Luboš</v>
      </c>
      <c r="L60" s="457" t="str">
        <f ca="1">IF(N(I60)&gt;0,VLOOKUP(I60,Hraci!$A$1:$I$1500,5,0),IF(TYPE(INDIRECT(ADDRESS(ROW() + $A$9-9 + (ROW()-11)*4,3,1,1,"Internet")))&gt;1,INDIRECT(ADDRESS(ROW() + $A$9-9 + (ROW()-11)*4,3,1,1,"Internet"))," "))</f>
        <v>PK Polouvsí</v>
      </c>
      <c r="M60" s="395">
        <f ca="1">IF(N(I60)=0,9999,VLOOKUP(I60,Hraci!$A$1:$I$1500,8,0))</f>
        <v>174</v>
      </c>
      <c r="N60" s="458">
        <f ca="1">IF(N(I60)=0,0,VLOOKUP(I60,Hraci!$A$1:$I$1500,9,0))</f>
        <v>17.812999999999999</v>
      </c>
      <c r="O60" s="455">
        <f t="shared" ca="1" si="25"/>
        <v>13055</v>
      </c>
      <c r="P60" s="456" t="str">
        <f ca="1">IF(N(O60)&gt;0,VLOOKUP(O60,Hraci!$A$1:$I$1500,2,0),IF(TYPE(INDIRECT(ADDRESS(ROW() + $A$9-8 + (ROW()-11)*4,2,1,1,"Internet")))&gt;1,INDIRECT(ADDRESS(ROW() + $A$9-8 + (ROW()-11)*4,2,1,1,"Internet"))," "))</f>
        <v>Brevčinský</v>
      </c>
      <c r="Q60" s="457" t="str">
        <f ca="1">IF(N(O60)&gt;0,VLOOKUP(O60,Hraci!$A$1:$I$1500,3,0)," ")</f>
        <v>Tomáš</v>
      </c>
      <c r="R60" s="457" t="str">
        <f ca="1">IF(N(O60)&gt;0,VLOOKUP(O60,Hraci!$A$1:$I$1500,5,0),IF(TYPE(INDIRECT(ADDRESS(ROW() + $A$9-8 + (ROW()-11)*4,3,1,1,"Internet")))&gt;1,INDIRECT(ADDRESS(ROW() + $A$9-8 + (ROW()-11)*4,3,1,1,"Internet"))," "))</f>
        <v>TOP - ORLOVÁ</v>
      </c>
      <c r="S60" s="395">
        <f ca="1">IF(N(O60)=0,9999,VLOOKUP(O60,Hraci!$A$1:$I$1500,8,0))</f>
        <v>375</v>
      </c>
      <c r="T60" s="458">
        <f ca="1">IF(N(O60)=0,0,VLOOKUP(O60,Hraci!$A$1:$I$1500,9,0))</f>
        <v>7.5</v>
      </c>
      <c r="U60" s="455">
        <f t="shared" ca="1" si="26"/>
        <v>17093</v>
      </c>
      <c r="V60" s="456" t="str">
        <f ca="1">IF(N(U60)&gt;0,VLOOKUP(U60,Hraci!$A$1:$I$1500,2,0),IF(TYPE(INDIRECT(ADDRESS(ROW() + $A$9-7 + (ROW()-11)*4,2,1,1,"Internet")))&gt;1,INDIRECT(ADDRESS(ROW() + $A$9-7 + (ROW()-11)*4,2,1,1,"Internet"))," "))</f>
        <v>Žiak</v>
      </c>
      <c r="W60" s="457" t="str">
        <f ca="1">IF(N(U60)&gt;0,VLOOKUP(U60,Hraci!$A$1:$I$1500,3,0)," ")</f>
        <v>Radomír</v>
      </c>
      <c r="X60" s="457" t="str">
        <f ca="1">IF(N(U60)&gt;0,VLOOKUP(U60,Hraci!$A$1:$I$1500,5,0),IF(TYPE(INDIRECT(ADDRESS(ROW() + $A$9-7 + (ROW()-11)*4,3,1,1,"Internet")))&gt;1,INDIRECT(ADDRESS(ROW() + $A$9-7 + (ROW()-11)*4,3,1,1,"Internet"))," "))</f>
        <v>PAK Albrechtice</v>
      </c>
      <c r="Y60" s="395">
        <f ca="1">IF(N(U60)=0,9999,VLOOKUP(U60,Hraci!$A$1:$I$1500,8,0))</f>
        <v>119</v>
      </c>
      <c r="Z60" s="458">
        <f ca="1">IF(N(U60)=0,0,VLOOKUP(U60,Hraci!$A$1:$I$1500,9,0))</f>
        <v>22.562999999999999</v>
      </c>
      <c r="AA60" s="455" t="str">
        <f t="shared" ca="1" si="27"/>
        <v/>
      </c>
      <c r="AB60" s="456" t="str">
        <f ca="1">IF(N(AA60)&gt;0,VLOOKUP(AA60,Hraci!$A$1:$I$1500,2,0)," ")</f>
        <v xml:space="preserve"> </v>
      </c>
      <c r="AC60" s="457" t="str">
        <f ca="1">IF(N(AA60)&gt;0,VLOOKUP(AA60,Hraci!$A$1:$I$1500,3,0)," ")</f>
        <v xml:space="preserve"> </v>
      </c>
      <c r="AD60" s="457" t="str">
        <f ca="1">IF(N(AA60)&gt;0,VLOOKUP(AA60,Hraci!$A$1:$I$1500,5,0)," ")</f>
        <v xml:space="preserve"> </v>
      </c>
      <c r="AE60" s="395">
        <f ca="1">IF(N(AA60)=0,9999,VLOOKUP(AA60,Hraci!$A$1:$I$1500,8,0))</f>
        <v>9999</v>
      </c>
      <c r="AF60" s="458">
        <f ca="1">IF(N(AA60)=0,0,VLOOKUP(AA60,Hraci!$A$1:$I$1500,9,0))</f>
        <v>0</v>
      </c>
      <c r="AG60" s="459"/>
      <c r="AH60" s="465">
        <f ca="1">IF(TYPE(VLOOKUP(H60,Nasazení!$A$3:$E$130,5,0))&lt;4,VLOOKUP(H60,Nasazení!$A$3:$E$130,5,0),0)</f>
        <v>59</v>
      </c>
      <c r="AI60" s="460">
        <f ca="1">IF(N($AH60)&gt;0,VLOOKUP($AH60,Body!$A$4:$F$259,5,0),"")</f>
        <v>1</v>
      </c>
      <c r="AJ60" s="461">
        <f ca="1">IF(N($AH60)&gt;0,VLOOKUP($AH60,Body!$A$4:$F$259,6,0),"")</f>
        <v>0</v>
      </c>
      <c r="AK60" s="460">
        <f ca="1">IF(N($AH60)&gt;0,VLOOKUP($AH60,Body!$A$4:$F$259,2,0),"")</f>
        <v>0</v>
      </c>
      <c r="AL60" s="462" t="str">
        <f t="shared" ca="1" si="28"/>
        <v>50 PK Polouvsí - Rusek Luboš</v>
      </c>
      <c r="AM60" s="463">
        <f t="shared" ca="1" si="29"/>
        <v>47.875999999999998</v>
      </c>
      <c r="AN60" s="395">
        <f ca="1">IF(OR(TYPE(I60)&gt;1,TYPE(MATCH(I60,I61:I$139,0))&gt;1),0,MATCH(I60,I61:I$139,0))+IF(OR(TYPE(I60)&gt;1,TYPE(MATCH(I60,O$11:O$139,0))&gt;1),0,MATCH(I60,O$11:O$139,0))+IF(OR(TYPE(I60)&gt;1,TYPE(MATCH(I60,U$11:U$139,0))&gt;1),0,MATCH(I60,U$11:U$139,0))+IF(OR(TYPE(I60)&gt;1,TYPE(MATCH(I60,AA$11:AA$139,0))&gt;1),0,MATCH(I60,AA$11:AA$139,0))</f>
        <v>0</v>
      </c>
      <c r="AO60" s="395">
        <f ca="1">IF(OR(TYPE(O60)&gt;1,TYPE(MATCH(O60,I$11:I$139,0))&gt;1),0,MATCH(O60,I$11:I$139,0))+IF(OR(TYPE(O60)&gt;1,TYPE(MATCH(O60,O61:O$139,0))&gt;1),0,MATCH(O60,O61:O$139,0))+IF(OR(TYPE(O60)&gt;1,TYPE(MATCH(O60,U$11:U$139,0))&gt;1),0,MATCH(O60,U$11:U$139,0))+IF(OR(TYPE(O60)&gt;1,TYPE(MATCH(O60,AA$11:AA$139,0))&gt;1),0,MATCH(O60,AA$11:AA$139,0))</f>
        <v>0</v>
      </c>
      <c r="AP60" s="395">
        <f ca="1">IF(OR(TYPE(U60)&gt;1,TYPE(MATCH(U60,I$11:I$139,0))&gt;1),0,MATCH(U60,I$11:I$139,0))+IF(OR(TYPE(U60)&gt;1,TYPE(MATCH(U60,O$11:O$139,0))&gt;1),0,MATCH(U60,O$11:O$139,0))+IF(OR(TYPE(U60)&gt;1,TYPE(MATCH(U60,U61:U$139,0))&gt;1),0,MATCH(U60,U61:U$139,0))+IF(OR(TYPE(U60)&gt;1,TYPE(MATCH(U60,AA$11:AA$139,0))&gt;1),0,MATCH(U60,AA$11:AA$139,0))</f>
        <v>0</v>
      </c>
      <c r="AQ60" s="395">
        <f ca="1">IF(OR(TYPE(AA60)&gt;1,TYPE(MATCH(AA60,I$11:I$139,0))&gt;1),0,MATCH(AA60,I$11:I$139,0))+IF(OR(TYPE(AA60)&gt;1,TYPE(MATCH(AA60,O$11:O$139,0))&gt;1),0,MATCH(AA60,O$11:O$139,0))+IF(OR(TYPE(AA60)&gt;1,TYPE(MATCH(AA60,U$11:U$139,0))&gt;1),0,MATCH(U60,U$11:U$139,0))+IF(OR(TYPE(AA60)&gt;1,TYPE(MATCH(AA60,AA61:AA$139,0))&gt;1),0,MATCH(AA60,AA61:AA$139,0))</f>
        <v>0</v>
      </c>
      <c r="AR60" s="395">
        <f t="shared" ca="1" si="14"/>
        <v>0</v>
      </c>
      <c r="BF60" s="395">
        <f t="shared" si="15"/>
        <v>50</v>
      </c>
    </row>
    <row r="61" spans="1:58" ht="12.9">
      <c r="A61" s="387">
        <f t="shared" ca="1" si="16"/>
        <v>3</v>
      </c>
      <c r="B61" s="387">
        <f t="shared" ca="1" si="17"/>
        <v>1</v>
      </c>
      <c r="C61" s="387">
        <f t="shared" ca="1" si="18"/>
        <v>44.125999999999998</v>
      </c>
      <c r="D61" s="387">
        <f t="shared" ca="1" si="19"/>
        <v>856</v>
      </c>
      <c r="E61" s="387">
        <f t="shared" ca="1" si="20"/>
        <v>129</v>
      </c>
      <c r="F61" s="417" t="str">
        <f t="shared" ca="1" si="21"/>
        <v>01000000000000000000813546</v>
      </c>
      <c r="G61" s="453" t="b">
        <f t="shared" ca="1" si="22"/>
        <v>0</v>
      </c>
      <c r="H61" s="454">
        <f t="shared" si="23"/>
        <v>51</v>
      </c>
      <c r="I61" s="455">
        <f t="shared" ca="1" si="24"/>
        <v>24218</v>
      </c>
      <c r="J61" s="456" t="str">
        <f ca="1">IF(N(I61)&gt;0,VLOOKUP(I61,Hraci!$A$1:$I$1500,2,0),IF(TYPE(INDIRECT(ADDRESS(ROW() + $A$9-9 + (ROW()-11)*4,2,1,1,"Internet")))&gt;1,INDIRECT(ADDRESS(ROW() + $A$9-9 + (ROW()-11)*4,2,1,1,"Internet"))," "))</f>
        <v>Fuksa</v>
      </c>
      <c r="K61" s="457" t="str">
        <f ca="1">IF(N(I61)&gt;0,VLOOKUP(I61,Hraci!$A$1:$I$1500,3,0)," ")</f>
        <v>Petr</v>
      </c>
      <c r="L61" s="457" t="str">
        <f ca="1">IF(N(I61)&gt;0,VLOOKUP(I61,Hraci!$A$1:$I$1500,5,0),IF(TYPE(INDIRECT(ADDRESS(ROW() + $A$9-9 + (ROW()-11)*4,3,1,1,"Internet")))&gt;1,INDIRECT(ADDRESS(ROW() + $A$9-9 + (ROW()-11)*4,3,1,1,"Internet"))," "))</f>
        <v>UBU Únětice</v>
      </c>
      <c r="M61" s="395">
        <f ca="1">IF(N(I61)=0,9999,VLOOKUP(I61,Hraci!$A$1:$I$1500,8,0))</f>
        <v>129</v>
      </c>
      <c r="N61" s="458">
        <f ca="1">IF(N(I61)=0,0,VLOOKUP(I61,Hraci!$A$1:$I$1500,9,0))</f>
        <v>27.062999999999999</v>
      </c>
      <c r="O61" s="455">
        <f t="shared" ca="1" si="25"/>
        <v>96108</v>
      </c>
      <c r="P61" s="456" t="str">
        <f ca="1">IF(N(O61)&gt;0,VLOOKUP(O61,Hraci!$A$1:$I$1500,2,0),IF(TYPE(INDIRECT(ADDRESS(ROW() + $A$9-8 + (ROW()-11)*4,2,1,1,"Internet")))&gt;1,INDIRECT(ADDRESS(ROW() + $A$9-8 + (ROW()-11)*4,2,1,1,"Internet"))," "))</f>
        <v>Hanč</v>
      </c>
      <c r="Q61" s="457" t="str">
        <f ca="1">IF(N(O61)&gt;0,VLOOKUP(O61,Hraci!$A$1:$I$1500,3,0)," ")</f>
        <v>Jaroslav</v>
      </c>
      <c r="R61" s="457" t="str">
        <f ca="1">IF(N(O61)&gt;0,VLOOKUP(O61,Hraci!$A$1:$I$1500,5,0),IF(TYPE(INDIRECT(ADDRESS(ROW() + $A$9-8 + (ROW()-11)*4,3,1,1,"Internet")))&gt;1,INDIRECT(ADDRESS(ROW() + $A$9-8 + (ROW()-11)*4,3,1,1,"Internet"))," "))</f>
        <v>1. KPK Vrchlabí</v>
      </c>
      <c r="S61" s="395">
        <f ca="1">IF(N(O61)=0,9999,VLOOKUP(O61,Hraci!$A$1:$I$1500,8,0))</f>
        <v>467</v>
      </c>
      <c r="T61" s="458">
        <f ca="1">IF(N(O61)=0,0,VLOOKUP(O61,Hraci!$A$1:$I$1500,9,0))</f>
        <v>4.5</v>
      </c>
      <c r="U61" s="455">
        <f t="shared" ca="1" si="26"/>
        <v>16060</v>
      </c>
      <c r="V61" s="456" t="str">
        <f ca="1">IF(N(U61)&gt;0,VLOOKUP(U61,Hraci!$A$1:$I$1500,2,0),IF(TYPE(INDIRECT(ADDRESS(ROW() + $A$9-7 + (ROW()-11)*4,2,1,1,"Internet")))&gt;1,INDIRECT(ADDRESS(ROW() + $A$9-7 + (ROW()-11)*4,2,1,1,"Internet"))," "))</f>
        <v>Kremlík</v>
      </c>
      <c r="W61" s="457" t="str">
        <f ca="1">IF(N(U61)&gt;0,VLOOKUP(U61,Hraci!$A$1:$I$1500,3,0)," ")</f>
        <v>Miroslav</v>
      </c>
      <c r="X61" s="457" t="str">
        <f ca="1">IF(N(U61)&gt;0,VLOOKUP(U61,Hraci!$A$1:$I$1500,5,0),IF(TYPE(INDIRECT(ADDRESS(ROW() + $A$9-7 + (ROW()-11)*4,3,1,1,"Internet")))&gt;1,INDIRECT(ADDRESS(ROW() + $A$9-7 + (ROW()-11)*4,3,1,1,"Internet"))," "))</f>
        <v>Spolek Park Grébovka</v>
      </c>
      <c r="Y61" s="395">
        <f ca="1">IF(N(U61)=0,9999,VLOOKUP(U61,Hraci!$A$1:$I$1500,8,0))</f>
        <v>260</v>
      </c>
      <c r="Z61" s="458">
        <f ca="1">IF(N(U61)=0,0,VLOOKUP(U61,Hraci!$A$1:$I$1500,9,0))</f>
        <v>12.563000000000001</v>
      </c>
      <c r="AA61" s="455" t="str">
        <f t="shared" ca="1" si="27"/>
        <v/>
      </c>
      <c r="AB61" s="456" t="str">
        <f ca="1">IF(N(AA61)&gt;0,VLOOKUP(AA61,Hraci!$A$1:$I$1500,2,0)," ")</f>
        <v xml:space="preserve"> </v>
      </c>
      <c r="AC61" s="457" t="str">
        <f ca="1">IF(N(AA61)&gt;0,VLOOKUP(AA61,Hraci!$A$1:$I$1500,3,0)," ")</f>
        <v xml:space="preserve"> </v>
      </c>
      <c r="AD61" s="457" t="str">
        <f ca="1">IF(N(AA61)&gt;0,VLOOKUP(AA61,Hraci!$A$1:$I$1500,5,0)," ")</f>
        <v xml:space="preserve"> </v>
      </c>
      <c r="AE61" s="395">
        <f ca="1">IF(N(AA61)=0,9999,VLOOKUP(AA61,Hraci!$A$1:$I$1500,8,0))</f>
        <v>9999</v>
      </c>
      <c r="AF61" s="458">
        <f ca="1">IF(N(AA61)=0,0,VLOOKUP(AA61,Hraci!$A$1:$I$1500,9,0))</f>
        <v>0</v>
      </c>
      <c r="AG61" s="459"/>
      <c r="AH61" s="465">
        <f ca="1">IF(TYPE(VLOOKUP(H61,Nasazení!$A$3:$E$130,5,0))&lt;4,VLOOKUP(H61,Nasazení!$A$3:$E$130,5,0),0)</f>
        <v>15</v>
      </c>
      <c r="AI61" s="460">
        <f ca="1">IF(N($AH61)&gt;0,VLOOKUP($AH61,Body!$A$4:$F$259,5,0),"")</f>
        <v>80.908179687500009</v>
      </c>
      <c r="AJ61" s="461">
        <f ca="1">IF(N($AH61)&gt;0,VLOOKUP($AH61,Body!$A$4:$F$259,6,0),"")</f>
        <v>0</v>
      </c>
      <c r="AK61" s="460">
        <f ca="1">IF(N($AH61)&gt;0,VLOOKUP($AH61,Body!$A$4:$F$259,2,0),"")</f>
        <v>2.125</v>
      </c>
      <c r="AL61" s="462" t="str">
        <f t="shared" ca="1" si="28"/>
        <v>51 UBU Únětice - Fuksa Petr</v>
      </c>
      <c r="AM61" s="463">
        <f t="shared" ca="1" si="29"/>
        <v>44.125999999999998</v>
      </c>
      <c r="AN61" s="395">
        <f ca="1">IF(OR(TYPE(I61)&gt;1,TYPE(MATCH(I61,I62:I$139,0))&gt;1),0,MATCH(I61,I62:I$139,0))+IF(OR(TYPE(I61)&gt;1,TYPE(MATCH(I61,O$11:O$139,0))&gt;1),0,MATCH(I61,O$11:O$139,0))+IF(OR(TYPE(I61)&gt;1,TYPE(MATCH(I61,U$11:U$139,0))&gt;1),0,MATCH(I61,U$11:U$139,0))+IF(OR(TYPE(I61)&gt;1,TYPE(MATCH(I61,AA$11:AA$139,0))&gt;1),0,MATCH(I61,AA$11:AA$139,0))</f>
        <v>0</v>
      </c>
      <c r="AO61" s="395">
        <f ca="1">IF(OR(TYPE(O61)&gt;1,TYPE(MATCH(O61,I$11:I$139,0))&gt;1),0,MATCH(O61,I$11:I$139,0))+IF(OR(TYPE(O61)&gt;1,TYPE(MATCH(O61,O62:O$139,0))&gt;1),0,MATCH(O61,O62:O$139,0))+IF(OR(TYPE(O61)&gt;1,TYPE(MATCH(O61,U$11:U$139,0))&gt;1),0,MATCH(O61,U$11:U$139,0))+IF(OR(TYPE(O61)&gt;1,TYPE(MATCH(O61,AA$11:AA$139,0))&gt;1),0,MATCH(O61,AA$11:AA$139,0))</f>
        <v>0</v>
      </c>
      <c r="AP61" s="395">
        <f ca="1">IF(OR(TYPE(U61)&gt;1,TYPE(MATCH(U61,I$11:I$139,0))&gt;1),0,MATCH(U61,I$11:I$139,0))+IF(OR(TYPE(U61)&gt;1,TYPE(MATCH(U61,O$11:O$139,0))&gt;1),0,MATCH(U61,O$11:O$139,0))+IF(OR(TYPE(U61)&gt;1,TYPE(MATCH(U61,U62:U$139,0))&gt;1),0,MATCH(U61,U62:U$139,0))+IF(OR(TYPE(U61)&gt;1,TYPE(MATCH(U61,AA$11:AA$139,0))&gt;1),0,MATCH(U61,AA$11:AA$139,0))</f>
        <v>0</v>
      </c>
      <c r="AQ61" s="395">
        <f ca="1">IF(OR(TYPE(AA61)&gt;1,TYPE(MATCH(AA61,I$11:I$139,0))&gt;1),0,MATCH(AA61,I$11:I$139,0))+IF(OR(TYPE(AA61)&gt;1,TYPE(MATCH(AA61,O$11:O$139,0))&gt;1),0,MATCH(AA61,O$11:O$139,0))+IF(OR(TYPE(AA61)&gt;1,TYPE(MATCH(AA61,U$11:U$139,0))&gt;1),0,MATCH(U61,U$11:U$139,0))+IF(OR(TYPE(AA61)&gt;1,TYPE(MATCH(AA61,AA62:AA$139,0))&gt;1),0,MATCH(AA61,AA62:AA$139,0))</f>
        <v>0</v>
      </c>
      <c r="AR61" s="395">
        <f t="shared" ca="1" si="14"/>
        <v>0</v>
      </c>
      <c r="BF61" s="395">
        <f t="shared" si="15"/>
        <v>51</v>
      </c>
    </row>
    <row r="62" spans="1:58" ht="12.9">
      <c r="A62" s="387">
        <f t="shared" ca="1" si="16"/>
        <v>3</v>
      </c>
      <c r="B62" s="387">
        <f t="shared" ca="1" si="17"/>
        <v>1</v>
      </c>
      <c r="C62" s="387">
        <f t="shared" ca="1" si="18"/>
        <v>37.781999999999996</v>
      </c>
      <c r="D62" s="387">
        <f t="shared" ca="1" si="19"/>
        <v>680</v>
      </c>
      <c r="E62" s="387">
        <f t="shared" ca="1" si="20"/>
        <v>155</v>
      </c>
      <c r="F62" s="417" t="str">
        <f t="shared" ca="1" si="21"/>
        <v>01000000000000000000526181</v>
      </c>
      <c r="G62" s="453" t="b">
        <f t="shared" ca="1" si="22"/>
        <v>0</v>
      </c>
      <c r="H62" s="454">
        <f t="shared" si="23"/>
        <v>52</v>
      </c>
      <c r="I62" s="455">
        <f t="shared" ca="1" si="24"/>
        <v>21004</v>
      </c>
      <c r="J62" s="456" t="str">
        <f ca="1">IF(N(I62)&gt;0,VLOOKUP(I62,Hraci!$A$1:$I$1500,2,0),IF(TYPE(INDIRECT(ADDRESS(ROW() + $A$9-9 + (ROW()-11)*4,2,1,1,"Internet")))&gt;1,INDIRECT(ADDRESS(ROW() + $A$9-9 + (ROW()-11)*4,2,1,1,"Internet"))," "))</f>
        <v>Grepl</v>
      </c>
      <c r="K62" s="457" t="str">
        <f ca="1">IF(N(I62)&gt;0,VLOOKUP(I62,Hraci!$A$1:$I$1500,3,0)," ")</f>
        <v>Kamila</v>
      </c>
      <c r="L62" s="457" t="str">
        <f ca="1">IF(N(I62)&gt;0,VLOOKUP(I62,Hraci!$A$1:$I$1500,5,0),IF(TYPE(INDIRECT(ADDRESS(ROW() + $A$9-9 + (ROW()-11)*4,3,1,1,"Internet")))&gt;1,INDIRECT(ADDRESS(ROW() + $A$9-9 + (ROW()-11)*4,3,1,1,"Internet"))," "))</f>
        <v>Carreau Brno</v>
      </c>
      <c r="M62" s="395">
        <f ca="1">IF(N(I62)=0,9999,VLOOKUP(I62,Hraci!$A$1:$I$1500,8,0))</f>
        <v>155</v>
      </c>
      <c r="N62" s="458">
        <f ca="1">IF(N(I62)=0,0,VLOOKUP(I62,Hraci!$A$1:$I$1500,9,0))</f>
        <v>16.5</v>
      </c>
      <c r="O62" s="455">
        <f t="shared" ca="1" si="25"/>
        <v>20702</v>
      </c>
      <c r="P62" s="456" t="str">
        <f ca="1">IF(N(O62)&gt;0,VLOOKUP(O62,Hraci!$A$1:$I$1500,2,0),IF(TYPE(INDIRECT(ADDRESS(ROW() + $A$9-8 + (ROW()-11)*4,2,1,1,"Internet")))&gt;1,INDIRECT(ADDRESS(ROW() + $A$9-8 + (ROW()-11)*4,2,1,1,"Internet"))," "))</f>
        <v>Michálková</v>
      </c>
      <c r="Q62" s="457" t="str">
        <f ca="1">IF(N(O62)&gt;0,VLOOKUP(O62,Hraci!$A$1:$I$1500,3,0)," ")</f>
        <v>Soňa</v>
      </c>
      <c r="R62" s="457" t="str">
        <f ca="1">IF(N(O62)&gt;0,VLOOKUP(O62,Hraci!$A$1:$I$1500,5,0),IF(TYPE(INDIRECT(ADDRESS(ROW() + $A$9-8 + (ROW()-11)*4,3,1,1,"Internet")))&gt;1,INDIRECT(ADDRESS(ROW() + $A$9-8 + (ROW()-11)*4,3,1,1,"Internet"))," "))</f>
        <v>Carreau Brno</v>
      </c>
      <c r="S62" s="395">
        <f ca="1">IF(N(O62)=0,9999,VLOOKUP(O62,Hraci!$A$1:$I$1500,8,0))</f>
        <v>283</v>
      </c>
      <c r="T62" s="458">
        <f ca="1">IF(N(O62)=0,0,VLOOKUP(O62,Hraci!$A$1:$I$1500,9,0))</f>
        <v>7.5</v>
      </c>
      <c r="U62" s="455">
        <f t="shared" ca="1" si="26"/>
        <v>20503</v>
      </c>
      <c r="V62" s="456" t="str">
        <f ca="1">IF(N(U62)&gt;0,VLOOKUP(U62,Hraci!$A$1:$I$1500,2,0),IF(TYPE(INDIRECT(ADDRESS(ROW() + $A$9-7 + (ROW()-11)*4,2,1,1,"Internet")))&gt;1,INDIRECT(ADDRESS(ROW() + $A$9-7 + (ROW()-11)*4,2,1,1,"Internet"))," "))</f>
        <v>Pokorná</v>
      </c>
      <c r="W62" s="457" t="str">
        <f ca="1">IF(N(U62)&gt;0,VLOOKUP(U62,Hraci!$A$1:$I$1500,3,0)," ")</f>
        <v>Lucie</v>
      </c>
      <c r="X62" s="457" t="str">
        <f ca="1">IF(N(U62)&gt;0,VLOOKUP(U62,Hraci!$A$1:$I$1500,5,0),IF(TYPE(INDIRECT(ADDRESS(ROW() + $A$9-7 + (ROW()-11)*4,3,1,1,"Internet")))&gt;1,INDIRECT(ADDRESS(ROW() + $A$9-7 + (ROW()-11)*4,3,1,1,"Internet"))," "))</f>
        <v>Carreau Brno</v>
      </c>
      <c r="Y62" s="395">
        <f ca="1">IF(N(U62)=0,9999,VLOOKUP(U62,Hraci!$A$1:$I$1500,8,0))</f>
        <v>242</v>
      </c>
      <c r="Z62" s="458">
        <f ca="1">IF(N(U62)=0,0,VLOOKUP(U62,Hraci!$A$1:$I$1500,9,0))</f>
        <v>13.782</v>
      </c>
      <c r="AA62" s="455" t="str">
        <f t="shared" ca="1" si="27"/>
        <v/>
      </c>
      <c r="AB62" s="456" t="str">
        <f ca="1">IF(N(AA62)&gt;0,VLOOKUP(AA62,Hraci!$A$1:$I$1500,2,0)," ")</f>
        <v xml:space="preserve"> </v>
      </c>
      <c r="AC62" s="457" t="str">
        <f ca="1">IF(N(AA62)&gt;0,VLOOKUP(AA62,Hraci!$A$1:$I$1500,3,0)," ")</f>
        <v xml:space="preserve"> </v>
      </c>
      <c r="AD62" s="457" t="str">
        <f ca="1">IF(N(AA62)&gt;0,VLOOKUP(AA62,Hraci!$A$1:$I$1500,5,0)," ")</f>
        <v xml:space="preserve"> </v>
      </c>
      <c r="AE62" s="395">
        <f ca="1">IF(N(AA62)=0,9999,VLOOKUP(AA62,Hraci!$A$1:$I$1500,8,0))</f>
        <v>9999</v>
      </c>
      <c r="AF62" s="458">
        <f ca="1">IF(N(AA62)=0,0,VLOOKUP(AA62,Hraci!$A$1:$I$1500,9,0))</f>
        <v>0</v>
      </c>
      <c r="AG62" s="459"/>
      <c r="AH62" s="465">
        <f ca="1">IF(TYPE(VLOOKUP(H62,Nasazení!$A$3:$E$130,5,0))&lt;4,VLOOKUP(H62,Nasazení!$A$3:$E$130,5,0),0)</f>
        <v>59</v>
      </c>
      <c r="AI62" s="460">
        <f ca="1">IF(N($AH62)&gt;0,VLOOKUP($AH62,Body!$A$4:$F$259,5,0),"")</f>
        <v>1</v>
      </c>
      <c r="AJ62" s="461">
        <f ca="1">IF(N($AH62)&gt;0,VLOOKUP($AH62,Body!$A$4:$F$259,6,0),"")</f>
        <v>0</v>
      </c>
      <c r="AK62" s="460">
        <f ca="1">IF(N($AH62)&gt;0,VLOOKUP($AH62,Body!$A$4:$F$259,2,0),"")</f>
        <v>0</v>
      </c>
      <c r="AL62" s="462" t="str">
        <f t="shared" ca="1" si="28"/>
        <v>52 Carreau Brno - Grepl Kamila</v>
      </c>
      <c r="AM62" s="463">
        <f t="shared" ca="1" si="29"/>
        <v>37.781999999999996</v>
      </c>
      <c r="AN62" s="395">
        <f ca="1">IF(OR(TYPE(I62)&gt;1,TYPE(MATCH(I62,I63:I$139,0))&gt;1),0,MATCH(I62,I63:I$139,0))+IF(OR(TYPE(I62)&gt;1,TYPE(MATCH(I62,O$11:O$139,0))&gt;1),0,MATCH(I62,O$11:O$139,0))+IF(OR(TYPE(I62)&gt;1,TYPE(MATCH(I62,U$11:U$139,0))&gt;1),0,MATCH(I62,U$11:U$139,0))+IF(OR(TYPE(I62)&gt;1,TYPE(MATCH(I62,AA$11:AA$139,0))&gt;1),0,MATCH(I62,AA$11:AA$139,0))</f>
        <v>0</v>
      </c>
      <c r="AO62" s="395">
        <f ca="1">IF(OR(TYPE(O62)&gt;1,TYPE(MATCH(O62,I$11:I$139,0))&gt;1),0,MATCH(O62,I$11:I$139,0))+IF(OR(TYPE(O62)&gt;1,TYPE(MATCH(O62,O63:O$139,0))&gt;1),0,MATCH(O62,O63:O$139,0))+IF(OR(TYPE(O62)&gt;1,TYPE(MATCH(O62,U$11:U$139,0))&gt;1),0,MATCH(O62,U$11:U$139,0))+IF(OR(TYPE(O62)&gt;1,TYPE(MATCH(O62,AA$11:AA$139,0))&gt;1),0,MATCH(O62,AA$11:AA$139,0))</f>
        <v>0</v>
      </c>
      <c r="AP62" s="395">
        <f ca="1">IF(OR(TYPE(U62)&gt;1,TYPE(MATCH(U62,I$11:I$139,0))&gt;1),0,MATCH(U62,I$11:I$139,0))+IF(OR(TYPE(U62)&gt;1,TYPE(MATCH(U62,O$11:O$139,0))&gt;1),0,MATCH(U62,O$11:O$139,0))+IF(OR(TYPE(U62)&gt;1,TYPE(MATCH(U62,U63:U$139,0))&gt;1),0,MATCH(U62,U63:U$139,0))+IF(OR(TYPE(U62)&gt;1,TYPE(MATCH(U62,AA$11:AA$139,0))&gt;1),0,MATCH(U62,AA$11:AA$139,0))</f>
        <v>0</v>
      </c>
      <c r="AQ62" s="395">
        <f ca="1">IF(OR(TYPE(AA62)&gt;1,TYPE(MATCH(AA62,I$11:I$139,0))&gt;1),0,MATCH(AA62,I$11:I$139,0))+IF(OR(TYPE(AA62)&gt;1,TYPE(MATCH(AA62,O$11:O$139,0))&gt;1),0,MATCH(AA62,O$11:O$139,0))+IF(OR(TYPE(AA62)&gt;1,TYPE(MATCH(AA62,U$11:U$139,0))&gt;1),0,MATCH(U62,U$11:U$139,0))+IF(OR(TYPE(AA62)&gt;1,TYPE(MATCH(AA62,AA63:AA$139,0))&gt;1),0,MATCH(AA62,AA63:AA$139,0))</f>
        <v>0</v>
      </c>
      <c r="AR62" s="395">
        <f t="shared" ca="1" si="14"/>
        <v>0</v>
      </c>
      <c r="BF62" s="395">
        <f t="shared" si="15"/>
        <v>52</v>
      </c>
    </row>
    <row r="63" spans="1:58" ht="12.9">
      <c r="A63" s="387">
        <f t="shared" ca="1" si="16"/>
        <v>3</v>
      </c>
      <c r="B63" s="387">
        <f t="shared" ca="1" si="17"/>
        <v>1</v>
      </c>
      <c r="C63" s="387">
        <f t="shared" ca="1" si="18"/>
        <v>37.066000000000003</v>
      </c>
      <c r="D63" s="387">
        <f t="shared" ca="1" si="19"/>
        <v>721</v>
      </c>
      <c r="E63" s="387">
        <f t="shared" ca="1" si="20"/>
        <v>228</v>
      </c>
      <c r="F63" s="417" t="str">
        <f t="shared" ca="1" si="21"/>
        <v>01000000000000000000166316</v>
      </c>
      <c r="G63" s="453" t="b">
        <f t="shared" ca="1" si="22"/>
        <v>0</v>
      </c>
      <c r="H63" s="454">
        <f t="shared" si="23"/>
        <v>53</v>
      </c>
      <c r="I63" s="455">
        <f t="shared" ca="1" si="24"/>
        <v>23243</v>
      </c>
      <c r="J63" s="456" t="str">
        <f ca="1">IF(N(I63)&gt;0,VLOOKUP(I63,Hraci!$A$1:$I$1500,2,0),IF(TYPE(INDIRECT(ADDRESS(ROW() + $A$9-9 + (ROW()-11)*4,2,1,1,"Internet")))&gt;1,INDIRECT(ADDRESS(ROW() + $A$9-9 + (ROW()-11)*4,2,1,1,"Internet"))," "))</f>
        <v>Sudoměřický</v>
      </c>
      <c r="K63" s="457" t="str">
        <f ca="1">IF(N(I63)&gt;0,VLOOKUP(I63,Hraci!$A$1:$I$1500,3,0)," ")</f>
        <v>Tomáš</v>
      </c>
      <c r="L63" s="457" t="str">
        <f ca="1">IF(N(I63)&gt;0,VLOOKUP(I63,Hraci!$A$1:$I$1500,5,0),IF(TYPE(INDIRECT(ADDRESS(ROW() + $A$9-9 + (ROW()-11)*4,3,1,1,"Internet")))&gt;1,INDIRECT(ADDRESS(ROW() + $A$9-9 + (ROW()-11)*4,3,1,1,"Internet"))," "))</f>
        <v>PC Sokol Velim</v>
      </c>
      <c r="M63" s="395">
        <f ca="1">IF(N(I63)=0,9999,VLOOKUP(I63,Hraci!$A$1:$I$1500,8,0))</f>
        <v>263</v>
      </c>
      <c r="N63" s="458">
        <f ca="1">IF(N(I63)=0,0,VLOOKUP(I63,Hraci!$A$1:$I$1500,9,0))</f>
        <v>10.72</v>
      </c>
      <c r="O63" s="455">
        <f t="shared" ca="1" si="25"/>
        <v>14098</v>
      </c>
      <c r="P63" s="456" t="str">
        <f ca="1">IF(N(O63)&gt;0,VLOOKUP(O63,Hraci!$A$1:$I$1500,2,0),IF(TYPE(INDIRECT(ADDRESS(ROW() + $A$9-8 + (ROW()-11)*4,2,1,1,"Internet")))&gt;1,INDIRECT(ADDRESS(ROW() + $A$9-8 + (ROW()-11)*4,2,1,1,"Internet"))," "))</f>
        <v>Skala</v>
      </c>
      <c r="Q63" s="457" t="str">
        <f ca="1">IF(N(O63)&gt;0,VLOOKUP(O63,Hraci!$A$1:$I$1500,3,0)," ")</f>
        <v>Petr</v>
      </c>
      <c r="R63" s="457" t="str">
        <f ca="1">IF(N(O63)&gt;0,VLOOKUP(O63,Hraci!$A$1:$I$1500,5,0),IF(TYPE(INDIRECT(ADDRESS(ROW() + $A$9-8 + (ROW()-11)*4,3,1,1,"Internet")))&gt;1,INDIRECT(ADDRESS(ROW() + $A$9-8 + (ROW()-11)*4,3,1,1,"Internet"))," "))</f>
        <v>PC Sokol Velim</v>
      </c>
      <c r="S63" s="395">
        <f ca="1">IF(N(O63)=0,9999,VLOOKUP(O63,Hraci!$A$1:$I$1500,8,0))</f>
        <v>228</v>
      </c>
      <c r="T63" s="458">
        <f ca="1">IF(N(O63)=0,0,VLOOKUP(O63,Hraci!$A$1:$I$1500,9,0))</f>
        <v>14.407</v>
      </c>
      <c r="U63" s="455">
        <f t="shared" ca="1" si="26"/>
        <v>29009</v>
      </c>
      <c r="V63" s="456" t="str">
        <f ca="1">IF(N(U63)&gt;0,VLOOKUP(U63,Hraci!$A$1:$I$1500,2,0),IF(TYPE(INDIRECT(ADDRESS(ROW() + $A$9-7 + (ROW()-11)*4,2,1,1,"Internet")))&gt;1,INDIRECT(ADDRESS(ROW() + $A$9-7 + (ROW()-11)*4,2,1,1,"Internet"))," "))</f>
        <v>Proroková</v>
      </c>
      <c r="W63" s="457" t="str">
        <f ca="1">IF(N(U63)&gt;0,VLOOKUP(U63,Hraci!$A$1:$I$1500,3,0)," ")</f>
        <v>Dana</v>
      </c>
      <c r="X63" s="457" t="str">
        <f ca="1">IF(N(U63)&gt;0,VLOOKUP(U63,Hraci!$A$1:$I$1500,5,0),IF(TYPE(INDIRECT(ADDRESS(ROW() + $A$9-7 + (ROW()-11)*4,3,1,1,"Internet")))&gt;1,INDIRECT(ADDRESS(ROW() + $A$9-7 + (ROW()-11)*4,3,1,1,"Internet"))," "))</f>
        <v>PC Sokol Velim</v>
      </c>
      <c r="Y63" s="395">
        <f ca="1">IF(N(U63)=0,9999,VLOOKUP(U63,Hraci!$A$1:$I$1500,8,0))</f>
        <v>230</v>
      </c>
      <c r="Z63" s="458">
        <f ca="1">IF(N(U63)=0,0,VLOOKUP(U63,Hraci!$A$1:$I$1500,9,0))</f>
        <v>11.939</v>
      </c>
      <c r="AA63" s="455" t="str">
        <f t="shared" ca="1" si="27"/>
        <v/>
      </c>
      <c r="AB63" s="456" t="str">
        <f ca="1">IF(N(AA63)&gt;0,VLOOKUP(AA63,Hraci!$A$1:$I$1500,2,0)," ")</f>
        <v xml:space="preserve"> </v>
      </c>
      <c r="AC63" s="457" t="str">
        <f ca="1">IF(N(AA63)&gt;0,VLOOKUP(AA63,Hraci!$A$1:$I$1500,3,0)," ")</f>
        <v xml:space="preserve"> </v>
      </c>
      <c r="AD63" s="457" t="str">
        <f ca="1">IF(N(AA63)&gt;0,VLOOKUP(AA63,Hraci!$A$1:$I$1500,5,0)," ")</f>
        <v xml:space="preserve"> </v>
      </c>
      <c r="AE63" s="395">
        <f ca="1">IF(N(AA63)=0,9999,VLOOKUP(AA63,Hraci!$A$1:$I$1500,8,0))</f>
        <v>9999</v>
      </c>
      <c r="AF63" s="458">
        <f ca="1">IF(N(AA63)=0,0,VLOOKUP(AA63,Hraci!$A$1:$I$1500,9,0))</f>
        <v>0</v>
      </c>
      <c r="AG63" s="459"/>
      <c r="AH63" s="465">
        <v>48</v>
      </c>
      <c r="AI63" s="460">
        <f ca="1">IF(N($AH63)&gt;0,VLOOKUP($AH63,Body!$A$4:$F$259,5,0),"")</f>
        <v>19.037218750000001</v>
      </c>
      <c r="AJ63" s="461">
        <f ca="1">IF(N($AH63)&gt;0,VLOOKUP($AH63,Body!$A$4:$F$259,6,0),"")</f>
        <v>0</v>
      </c>
      <c r="AK63" s="460">
        <f ca="1">IF(N($AH63)&gt;0,VLOOKUP($AH63,Body!$A$4:$F$259,2,0),"")</f>
        <v>0.5</v>
      </c>
      <c r="AL63" s="462" t="str">
        <f t="shared" ca="1" si="28"/>
        <v>53 PC Sokol Velim - Sudoměřický Tomáš</v>
      </c>
      <c r="AM63" s="463">
        <f t="shared" ca="1" si="29"/>
        <v>37.066000000000003</v>
      </c>
      <c r="AN63" s="395">
        <f ca="1">IF(OR(TYPE(I63)&gt;1,TYPE(MATCH(I63,I64:I$139,0))&gt;1),0,MATCH(I63,I64:I$139,0))+IF(OR(TYPE(I63)&gt;1,TYPE(MATCH(I63,O$11:O$139,0))&gt;1),0,MATCH(I63,O$11:O$139,0))+IF(OR(TYPE(I63)&gt;1,TYPE(MATCH(I63,U$11:U$139,0))&gt;1),0,MATCH(I63,U$11:U$139,0))+IF(OR(TYPE(I63)&gt;1,TYPE(MATCH(I63,AA$11:AA$139,0))&gt;1),0,MATCH(I63,AA$11:AA$139,0))</f>
        <v>0</v>
      </c>
      <c r="AO63" s="395">
        <f ca="1">IF(OR(TYPE(O63)&gt;1,TYPE(MATCH(O63,I$11:I$139,0))&gt;1),0,MATCH(O63,I$11:I$139,0))+IF(OR(TYPE(O63)&gt;1,TYPE(MATCH(O63,O64:O$139,0))&gt;1),0,MATCH(O63,O64:O$139,0))+IF(OR(TYPE(O63)&gt;1,TYPE(MATCH(O63,U$11:U$139,0))&gt;1),0,MATCH(O63,U$11:U$139,0))+IF(OR(TYPE(O63)&gt;1,TYPE(MATCH(O63,AA$11:AA$139,0))&gt;1),0,MATCH(O63,AA$11:AA$139,0))</f>
        <v>0</v>
      </c>
      <c r="AP63" s="395">
        <f ca="1">IF(OR(TYPE(U63)&gt;1,TYPE(MATCH(U63,I$11:I$139,0))&gt;1),0,MATCH(U63,I$11:I$139,0))+IF(OR(TYPE(U63)&gt;1,TYPE(MATCH(U63,O$11:O$139,0))&gt;1),0,MATCH(U63,O$11:O$139,0))+IF(OR(TYPE(U63)&gt;1,TYPE(MATCH(U63,U64:U$139,0))&gt;1),0,MATCH(U63,U64:U$139,0))+IF(OR(TYPE(U63)&gt;1,TYPE(MATCH(U63,AA$11:AA$139,0))&gt;1),0,MATCH(U63,AA$11:AA$139,0))</f>
        <v>0</v>
      </c>
      <c r="AQ63" s="395">
        <f ca="1">IF(OR(TYPE(AA63)&gt;1,TYPE(MATCH(AA63,I$11:I$139,0))&gt;1),0,MATCH(AA63,I$11:I$139,0))+IF(OR(TYPE(AA63)&gt;1,TYPE(MATCH(AA63,O$11:O$139,0))&gt;1),0,MATCH(AA63,O$11:O$139,0))+IF(OR(TYPE(AA63)&gt;1,TYPE(MATCH(AA63,U$11:U$139,0))&gt;1),0,MATCH(U63,U$11:U$139,0))+IF(OR(TYPE(AA63)&gt;1,TYPE(MATCH(AA63,AA64:AA$139,0))&gt;1),0,MATCH(AA63,AA64:AA$139,0))</f>
        <v>0</v>
      </c>
      <c r="AR63" s="395">
        <f t="shared" ca="1" si="14"/>
        <v>0</v>
      </c>
      <c r="BF63" s="395">
        <f t="shared" si="15"/>
        <v>53</v>
      </c>
    </row>
    <row r="64" spans="1:58" ht="12.9">
      <c r="A64" s="387">
        <f t="shared" ca="1" si="16"/>
        <v>3</v>
      </c>
      <c r="B64" s="387">
        <f t="shared" ca="1" si="17"/>
        <v>1</v>
      </c>
      <c r="C64" s="387">
        <f t="shared" ca="1" si="18"/>
        <v>28.971000000000004</v>
      </c>
      <c r="D64" s="387">
        <f t="shared" ca="1" si="19"/>
        <v>1176</v>
      </c>
      <c r="E64" s="387">
        <f t="shared" ca="1" si="20"/>
        <v>292</v>
      </c>
      <c r="F64" s="417" t="str">
        <f t="shared" ca="1" si="21"/>
        <v>01000000000000000000878829</v>
      </c>
      <c r="G64" s="453" t="b">
        <f t="shared" ca="1" si="22"/>
        <v>0</v>
      </c>
      <c r="H64" s="454">
        <f t="shared" si="23"/>
        <v>54</v>
      </c>
      <c r="I64" s="455">
        <f t="shared" ca="1" si="24"/>
        <v>20542</v>
      </c>
      <c r="J64" s="456" t="str">
        <f ca="1">IF(N(I64)&gt;0,VLOOKUP(I64,Hraci!$A$1:$I$1500,2,0),IF(TYPE(INDIRECT(ADDRESS(ROW() + $A$9-9 + (ROW()-11)*4,2,1,1,"Internet")))&gt;1,INDIRECT(ADDRESS(ROW() + $A$9-9 + (ROW()-11)*4,2,1,1,"Internet"))," "))</f>
        <v>Holenda</v>
      </c>
      <c r="K64" s="457" t="str">
        <f ca="1">IF(N(I64)&gt;0,VLOOKUP(I64,Hraci!$A$1:$I$1500,3,0)," ")</f>
        <v>Milan</v>
      </c>
      <c r="L64" s="457" t="str">
        <f ca="1">IF(N(I64)&gt;0,VLOOKUP(I64,Hraci!$A$1:$I$1500,5,0),IF(TYPE(INDIRECT(ADDRESS(ROW() + $A$9-9 + (ROW()-11)*4,3,1,1,"Internet")))&gt;1,INDIRECT(ADDRESS(ROW() + $A$9-9 + (ROW()-11)*4,3,1,1,"Internet"))," "))</f>
        <v>PO Chotěboř</v>
      </c>
      <c r="M64" s="395">
        <f ca="1">IF(N(I64)=0,9999,VLOOKUP(I64,Hraci!$A$1:$I$1500,8,0))</f>
        <v>292</v>
      </c>
      <c r="N64" s="458">
        <f ca="1">IF(N(I64)=0,0,VLOOKUP(I64,Hraci!$A$1:$I$1500,9,0))</f>
        <v>14.47</v>
      </c>
      <c r="O64" s="455">
        <f t="shared" ca="1" si="25"/>
        <v>22168</v>
      </c>
      <c r="P64" s="456" t="str">
        <f ca="1">IF(N(O64)&gt;0,VLOOKUP(O64,Hraci!$A$1:$I$1500,2,0),IF(TYPE(INDIRECT(ADDRESS(ROW() + $A$9-8 + (ROW()-11)*4,2,1,1,"Internet")))&gt;1,INDIRECT(ADDRESS(ROW() + $A$9-8 + (ROW()-11)*4,2,1,1,"Internet"))," "))</f>
        <v>Jindrová</v>
      </c>
      <c r="Q64" s="457" t="str">
        <f ca="1">IF(N(O64)&gt;0,VLOOKUP(O64,Hraci!$A$1:$I$1500,3,0)," ")</f>
        <v>Alena</v>
      </c>
      <c r="R64" s="457" t="str">
        <f ca="1">IF(N(O64)&gt;0,VLOOKUP(O64,Hraci!$A$1:$I$1500,5,0),IF(TYPE(INDIRECT(ADDRESS(ROW() + $A$9-8 + (ROW()-11)*4,3,1,1,"Internet")))&gt;1,INDIRECT(ADDRESS(ROW() + $A$9-8 + (ROW()-11)*4,3,1,1,"Internet"))," "))</f>
        <v>PO Chotěboř</v>
      </c>
      <c r="S64" s="395">
        <f ca="1">IF(N(O64)=0,9999,VLOOKUP(O64,Hraci!$A$1:$I$1500,8,0))</f>
        <v>294</v>
      </c>
      <c r="T64" s="458">
        <f ca="1">IF(N(O64)=0,0,VLOOKUP(O64,Hraci!$A$1:$I$1500,9,0))</f>
        <v>14.157</v>
      </c>
      <c r="U64" s="455">
        <f t="shared" ca="1" si="26"/>
        <v>24536</v>
      </c>
      <c r="V64" s="456" t="str">
        <f ca="1">IF(N(U64)&gt;0,VLOOKUP(U64,Hraci!$A$1:$I$1500,2,0),IF(TYPE(INDIRECT(ADDRESS(ROW() + $A$9-7 + (ROW()-11)*4,2,1,1,"Internet")))&gt;1,INDIRECT(ADDRESS(ROW() + $A$9-7 + (ROW()-11)*4,2,1,1,"Internet"))," "))</f>
        <v>Zmrhal</v>
      </c>
      <c r="W64" s="457" t="str">
        <f ca="1">IF(N(U64)&gt;0,VLOOKUP(U64,Hraci!$A$1:$I$1500,3,0)," ")</f>
        <v>Milan</v>
      </c>
      <c r="X64" s="457" t="str">
        <f ca="1">IF(N(U64)&gt;0,VLOOKUP(U64,Hraci!$A$1:$I$1500,5,0),IF(TYPE(INDIRECT(ADDRESS(ROW() + $A$9-7 + (ROW()-11)*4,3,1,1,"Internet")))&gt;1,INDIRECT(ADDRESS(ROW() + $A$9-7 + (ROW()-11)*4,3,1,1,"Internet"))," "))</f>
        <v>PO Chotěboř</v>
      </c>
      <c r="Y64" s="395">
        <f ca="1">IF(N(U64)=0,9999,VLOOKUP(U64,Hraci!$A$1:$I$1500,8,0))</f>
        <v>590</v>
      </c>
      <c r="Z64" s="458">
        <f ca="1">IF(N(U64)=0,0,VLOOKUP(U64,Hraci!$A$1:$I$1500,9,0))</f>
        <v>0.34399999999999997</v>
      </c>
      <c r="AA64" s="455" t="str">
        <f t="shared" ca="1" si="27"/>
        <v/>
      </c>
      <c r="AB64" s="456" t="str">
        <f ca="1">IF(N(AA64)&gt;0,VLOOKUP(AA64,Hraci!$A$1:$I$1500,2,0)," ")</f>
        <v xml:space="preserve"> </v>
      </c>
      <c r="AC64" s="457" t="str">
        <f ca="1">IF(N(AA64)&gt;0,VLOOKUP(AA64,Hraci!$A$1:$I$1500,3,0)," ")</f>
        <v xml:space="preserve"> </v>
      </c>
      <c r="AD64" s="457" t="str">
        <f ca="1">IF(N(AA64)&gt;0,VLOOKUP(AA64,Hraci!$A$1:$I$1500,5,0)," ")</f>
        <v xml:space="preserve"> </v>
      </c>
      <c r="AE64" s="395">
        <f ca="1">IF(N(AA64)=0,9999,VLOOKUP(AA64,Hraci!$A$1:$I$1500,8,0))</f>
        <v>9999</v>
      </c>
      <c r="AF64" s="458">
        <f ca="1">IF(N(AA64)=0,0,VLOOKUP(AA64,Hraci!$A$1:$I$1500,9,0))</f>
        <v>0</v>
      </c>
      <c r="AG64" s="459"/>
      <c r="AH64" s="465">
        <v>48</v>
      </c>
      <c r="AI64" s="460">
        <f ca="1">IF(N($AH64)&gt;0,VLOOKUP($AH64,Body!$A$4:$F$259,5,0),"")</f>
        <v>19.037218750000001</v>
      </c>
      <c r="AJ64" s="461">
        <f ca="1">IF(N($AH64)&gt;0,VLOOKUP($AH64,Body!$A$4:$F$259,6,0),"")</f>
        <v>0</v>
      </c>
      <c r="AK64" s="460">
        <f ca="1">IF(N($AH64)&gt;0,VLOOKUP($AH64,Body!$A$4:$F$259,2,0),"")</f>
        <v>0.5</v>
      </c>
      <c r="AL64" s="462" t="str">
        <f t="shared" ca="1" si="28"/>
        <v>54 PO Chotěboř - Holenda Milan</v>
      </c>
      <c r="AM64" s="463">
        <f t="shared" ca="1" si="29"/>
        <v>28.971000000000004</v>
      </c>
      <c r="AN64" s="395">
        <f ca="1">IF(OR(TYPE(I64)&gt;1,TYPE(MATCH(I64,I65:I$139,0))&gt;1),0,MATCH(I64,I65:I$139,0))+IF(OR(TYPE(I64)&gt;1,TYPE(MATCH(I64,O$11:O$139,0))&gt;1),0,MATCH(I64,O$11:O$139,0))+IF(OR(TYPE(I64)&gt;1,TYPE(MATCH(I64,U$11:U$139,0))&gt;1),0,MATCH(I64,U$11:U$139,0))+IF(OR(TYPE(I64)&gt;1,TYPE(MATCH(I64,AA$11:AA$139,0))&gt;1),0,MATCH(I64,AA$11:AA$139,0))</f>
        <v>0</v>
      </c>
      <c r="AO64" s="395">
        <f ca="1">IF(OR(TYPE(O64)&gt;1,TYPE(MATCH(O64,I$11:I$139,0))&gt;1),0,MATCH(O64,I$11:I$139,0))+IF(OR(TYPE(O64)&gt;1,TYPE(MATCH(O64,O65:O$139,0))&gt;1),0,MATCH(O64,O65:O$139,0))+IF(OR(TYPE(O64)&gt;1,TYPE(MATCH(O64,U$11:U$139,0))&gt;1),0,MATCH(O64,U$11:U$139,0))+IF(OR(TYPE(O64)&gt;1,TYPE(MATCH(O64,AA$11:AA$139,0))&gt;1),0,MATCH(O64,AA$11:AA$139,0))</f>
        <v>0</v>
      </c>
      <c r="AP64" s="395">
        <f ca="1">IF(OR(TYPE(U64)&gt;1,TYPE(MATCH(U64,I$11:I$139,0))&gt;1),0,MATCH(U64,I$11:I$139,0))+IF(OR(TYPE(U64)&gt;1,TYPE(MATCH(U64,O$11:O$139,0))&gt;1),0,MATCH(U64,O$11:O$139,0))+IF(OR(TYPE(U64)&gt;1,TYPE(MATCH(U64,U65:U$139,0))&gt;1),0,MATCH(U64,U65:U$139,0))+IF(OR(TYPE(U64)&gt;1,TYPE(MATCH(U64,AA$11:AA$139,0))&gt;1),0,MATCH(U64,AA$11:AA$139,0))</f>
        <v>0</v>
      </c>
      <c r="AQ64" s="395">
        <f ca="1">IF(OR(TYPE(AA64)&gt;1,TYPE(MATCH(AA64,I$11:I$139,0))&gt;1),0,MATCH(AA64,I$11:I$139,0))+IF(OR(TYPE(AA64)&gt;1,TYPE(MATCH(AA64,O$11:O$139,0))&gt;1),0,MATCH(AA64,O$11:O$139,0))+IF(OR(TYPE(AA64)&gt;1,TYPE(MATCH(AA64,U$11:U$139,0))&gt;1),0,MATCH(U64,U$11:U$139,0))+IF(OR(TYPE(AA64)&gt;1,TYPE(MATCH(AA64,AA65:AA$139,0))&gt;1),0,MATCH(AA64,AA65:AA$139,0))</f>
        <v>0</v>
      </c>
      <c r="AR64" s="395">
        <f t="shared" ca="1" si="14"/>
        <v>0</v>
      </c>
      <c r="BF64" s="395">
        <f t="shared" si="15"/>
        <v>54</v>
      </c>
    </row>
    <row r="65" spans="1:58" ht="12.9">
      <c r="A65" s="387">
        <f t="shared" ca="1" si="16"/>
        <v>3</v>
      </c>
      <c r="B65" s="387">
        <f t="shared" ca="1" si="17"/>
        <v>1</v>
      </c>
      <c r="C65" s="387">
        <f t="shared" ca="1" si="18"/>
        <v>25.504000000000001</v>
      </c>
      <c r="D65" s="387">
        <f t="shared" ca="1" si="19"/>
        <v>1050</v>
      </c>
      <c r="E65" s="387">
        <f t="shared" ca="1" si="20"/>
        <v>312</v>
      </c>
      <c r="F65" s="417" t="str">
        <f t="shared" ca="1" si="21"/>
        <v>01000000000000000000205608</v>
      </c>
      <c r="G65" s="453" t="b">
        <f t="shared" ca="1" si="22"/>
        <v>0</v>
      </c>
      <c r="H65" s="454">
        <f t="shared" si="23"/>
        <v>55</v>
      </c>
      <c r="I65" s="455">
        <f t="shared" ca="1" si="24"/>
        <v>18141</v>
      </c>
      <c r="J65" s="456" t="str">
        <f ca="1">IF(N(I65)&gt;0,VLOOKUP(I65,Hraci!$A$1:$I$1500,2,0),IF(TYPE(INDIRECT(ADDRESS(ROW() + $A$9-9 + (ROW()-11)*4,2,1,1,"Internet")))&gt;1,INDIRECT(ADDRESS(ROW() + $A$9-9 + (ROW()-11)*4,2,1,1,"Internet"))," "))</f>
        <v>Horák</v>
      </c>
      <c r="K65" s="457" t="str">
        <f ca="1">IF(N(I65)&gt;0,VLOOKUP(I65,Hraci!$A$1:$I$1500,3,0)," ")</f>
        <v>Libor</v>
      </c>
      <c r="L65" s="457" t="str">
        <f ca="1">IF(N(I65)&gt;0,VLOOKUP(I65,Hraci!$A$1:$I$1500,5,0),IF(TYPE(INDIRECT(ADDRESS(ROW() + $A$9-9 + (ROW()-11)*4,3,1,1,"Internet")))&gt;1,INDIRECT(ADDRESS(ROW() + $A$9-9 + (ROW()-11)*4,3,1,1,"Internet"))," "))</f>
        <v>BePeC 2016</v>
      </c>
      <c r="M65" s="395">
        <f ca="1">IF(N(I65)=0,9999,VLOOKUP(I65,Hraci!$A$1:$I$1500,8,0))</f>
        <v>317</v>
      </c>
      <c r="N65" s="458">
        <f ca="1">IF(N(I65)=0,0,VLOOKUP(I65,Hraci!$A$1:$I$1500,9,0))</f>
        <v>11.250999999999999</v>
      </c>
      <c r="O65" s="455">
        <f t="shared" ca="1" si="25"/>
        <v>98304</v>
      </c>
      <c r="P65" s="456" t="str">
        <f ca="1">IF(N(O65)&gt;0,VLOOKUP(O65,Hraci!$A$1:$I$1500,2,0),IF(TYPE(INDIRECT(ADDRESS(ROW() + $A$9-8 + (ROW()-11)*4,2,1,1,"Internet")))&gt;1,INDIRECT(ADDRESS(ROW() + $A$9-8 + (ROW()-11)*4,2,1,1,"Internet"))," "))</f>
        <v>Urbanová</v>
      </c>
      <c r="Q65" s="457" t="str">
        <f ca="1">IF(N(O65)&gt;0,VLOOKUP(O65,Hraci!$A$1:$I$1500,3,0)," ")</f>
        <v>Bronislava</v>
      </c>
      <c r="R65" s="457" t="str">
        <f ca="1">IF(N(O65)&gt;0,VLOOKUP(O65,Hraci!$A$1:$I$1500,5,0),IF(TYPE(INDIRECT(ADDRESS(ROW() + $A$9-8 + (ROW()-11)*4,3,1,1,"Internet")))&gt;1,INDIRECT(ADDRESS(ROW() + $A$9-8 + (ROW()-11)*4,3,1,1,"Internet"))," "))</f>
        <v>1. Starobrněnský PK</v>
      </c>
      <c r="S65" s="395">
        <f ca="1">IF(N(O65)=0,9999,VLOOKUP(O65,Hraci!$A$1:$I$1500,8,0))</f>
        <v>312</v>
      </c>
      <c r="T65" s="458">
        <f ca="1">IF(N(O65)=0,0,VLOOKUP(O65,Hraci!$A$1:$I$1500,9,0))</f>
        <v>10.345000000000001</v>
      </c>
      <c r="U65" s="455">
        <f t="shared" ca="1" si="26"/>
        <v>21063</v>
      </c>
      <c r="V65" s="456" t="str">
        <f ca="1">IF(N(U65)&gt;0,VLOOKUP(U65,Hraci!$A$1:$I$1500,2,0),IF(TYPE(INDIRECT(ADDRESS(ROW() + $A$9-7 + (ROW()-11)*4,2,1,1,"Internet")))&gt;1,INDIRECT(ADDRESS(ROW() + $A$9-7 + (ROW()-11)*4,2,1,1,"Internet"))," "))</f>
        <v>Lukášová</v>
      </c>
      <c r="W65" s="457" t="str">
        <f ca="1">IF(N(U65)&gt;0,VLOOKUP(U65,Hraci!$A$1:$I$1500,3,0)," ")</f>
        <v>Jarmila</v>
      </c>
      <c r="X65" s="457" t="str">
        <f ca="1">IF(N(U65)&gt;0,VLOOKUP(U65,Hraci!$A$1:$I$1500,5,0),IF(TYPE(INDIRECT(ADDRESS(ROW() + $A$9-7 + (ROW()-11)*4,3,1,1,"Internet")))&gt;1,INDIRECT(ADDRESS(ROW() + $A$9-7 + (ROW()-11)*4,3,1,1,"Internet"))," "))</f>
        <v>BePeC 2016</v>
      </c>
      <c r="Y65" s="395">
        <f ca="1">IF(N(U65)=0,9999,VLOOKUP(U65,Hraci!$A$1:$I$1500,8,0))</f>
        <v>421</v>
      </c>
      <c r="Z65" s="458">
        <f ca="1">IF(N(U65)=0,0,VLOOKUP(U65,Hraci!$A$1:$I$1500,9,0))</f>
        <v>3.9079999999999999</v>
      </c>
      <c r="AA65" s="455" t="str">
        <f t="shared" ca="1" si="27"/>
        <v/>
      </c>
      <c r="AB65" s="456" t="str">
        <f ca="1">IF(N(AA65)&gt;0,VLOOKUP(AA65,Hraci!$A$1:$I$1500,2,0)," ")</f>
        <v xml:space="preserve"> </v>
      </c>
      <c r="AC65" s="457" t="str">
        <f ca="1">IF(N(AA65)&gt;0,VLOOKUP(AA65,Hraci!$A$1:$I$1500,3,0)," ")</f>
        <v xml:space="preserve"> </v>
      </c>
      <c r="AD65" s="457" t="str">
        <f ca="1">IF(N(AA65)&gt;0,VLOOKUP(AA65,Hraci!$A$1:$I$1500,5,0)," ")</f>
        <v xml:space="preserve"> </v>
      </c>
      <c r="AE65" s="395">
        <f ca="1">IF(N(AA65)=0,9999,VLOOKUP(AA65,Hraci!$A$1:$I$1500,8,0))</f>
        <v>9999</v>
      </c>
      <c r="AF65" s="458">
        <f ca="1">IF(N(AA65)=0,0,VLOOKUP(AA65,Hraci!$A$1:$I$1500,9,0))</f>
        <v>0</v>
      </c>
      <c r="AG65" s="459"/>
      <c r="AH65" s="465">
        <f ca="1">IF(TYPE(VLOOKUP(H65,Nasazení!$A$3:$E$130,5,0))&lt;4,VLOOKUP(H65,Nasazení!$A$3:$E$130,5,0),0)</f>
        <v>59</v>
      </c>
      <c r="AI65" s="460">
        <f ca="1">IF(N($AH65)&gt;0,VLOOKUP($AH65,Body!$A$4:$F$259,5,0),"")</f>
        <v>1</v>
      </c>
      <c r="AJ65" s="461">
        <f ca="1">IF(N($AH65)&gt;0,VLOOKUP($AH65,Body!$A$4:$F$259,6,0),"")</f>
        <v>0</v>
      </c>
      <c r="AK65" s="460">
        <f ca="1">IF(N($AH65)&gt;0,VLOOKUP($AH65,Body!$A$4:$F$259,2,0),"")</f>
        <v>0</v>
      </c>
      <c r="AL65" s="462" t="str">
        <f t="shared" ca="1" si="28"/>
        <v>55 BePeC 2016 - Horák Libor</v>
      </c>
      <c r="AM65" s="463">
        <f t="shared" ca="1" si="29"/>
        <v>25.504000000000001</v>
      </c>
      <c r="AN65" s="395">
        <f ca="1">IF(OR(TYPE(I65)&gt;1,TYPE(MATCH(I65,I66:I$139,0))&gt;1),0,MATCH(I65,I66:I$139,0))+IF(OR(TYPE(I65)&gt;1,TYPE(MATCH(I65,O$11:O$139,0))&gt;1),0,MATCH(I65,O$11:O$139,0))+IF(OR(TYPE(I65)&gt;1,TYPE(MATCH(I65,U$11:U$139,0))&gt;1),0,MATCH(I65,U$11:U$139,0))+IF(OR(TYPE(I65)&gt;1,TYPE(MATCH(I65,AA$11:AA$139,0))&gt;1),0,MATCH(I65,AA$11:AA$139,0))</f>
        <v>0</v>
      </c>
      <c r="AO65" s="395">
        <f ca="1">IF(OR(TYPE(O65)&gt;1,TYPE(MATCH(O65,I$11:I$139,0))&gt;1),0,MATCH(O65,I$11:I$139,0))+IF(OR(TYPE(O65)&gt;1,TYPE(MATCH(O65,O66:O$139,0))&gt;1),0,MATCH(O65,O66:O$139,0))+IF(OR(TYPE(O65)&gt;1,TYPE(MATCH(O65,U$11:U$139,0))&gt;1),0,MATCH(O65,U$11:U$139,0))+IF(OR(TYPE(O65)&gt;1,TYPE(MATCH(O65,AA$11:AA$139,0))&gt;1),0,MATCH(O65,AA$11:AA$139,0))</f>
        <v>0</v>
      </c>
      <c r="AP65" s="395">
        <f ca="1">IF(OR(TYPE(U65)&gt;1,TYPE(MATCH(U65,I$11:I$139,0))&gt;1),0,MATCH(U65,I$11:I$139,0))+IF(OR(TYPE(U65)&gt;1,TYPE(MATCH(U65,O$11:O$139,0))&gt;1),0,MATCH(U65,O$11:O$139,0))+IF(OR(TYPE(U65)&gt;1,TYPE(MATCH(U65,U66:U$139,0))&gt;1),0,MATCH(U65,U66:U$139,0))+IF(OR(TYPE(U65)&gt;1,TYPE(MATCH(U65,AA$11:AA$139,0))&gt;1),0,MATCH(U65,AA$11:AA$139,0))</f>
        <v>0</v>
      </c>
      <c r="AQ65" s="395">
        <f ca="1">IF(OR(TYPE(AA65)&gt;1,TYPE(MATCH(AA65,I$11:I$139,0))&gt;1),0,MATCH(AA65,I$11:I$139,0))+IF(OR(TYPE(AA65)&gt;1,TYPE(MATCH(AA65,O$11:O$139,0))&gt;1),0,MATCH(AA65,O$11:O$139,0))+IF(OR(TYPE(AA65)&gt;1,TYPE(MATCH(AA65,U$11:U$139,0))&gt;1),0,MATCH(U65,U$11:U$139,0))+IF(OR(TYPE(AA65)&gt;1,TYPE(MATCH(AA65,AA66:AA$139,0))&gt;1),0,MATCH(AA65,AA66:AA$139,0))</f>
        <v>0</v>
      </c>
      <c r="AR65" s="395">
        <f t="shared" ca="1" si="14"/>
        <v>0</v>
      </c>
      <c r="BF65" s="395">
        <f t="shared" si="15"/>
        <v>55</v>
      </c>
    </row>
    <row r="66" spans="1:58" ht="12.9">
      <c r="A66" s="387">
        <f t="shared" ca="1" si="16"/>
        <v>3</v>
      </c>
      <c r="B66" s="387">
        <f t="shared" ca="1" si="17"/>
        <v>1</v>
      </c>
      <c r="C66" s="387">
        <f t="shared" ca="1" si="18"/>
        <v>24.143000000000001</v>
      </c>
      <c r="D66" s="387">
        <f t="shared" ca="1" si="19"/>
        <v>1062</v>
      </c>
      <c r="E66" s="387">
        <f t="shared" ca="1" si="20"/>
        <v>267</v>
      </c>
      <c r="F66" s="417" t="str">
        <f t="shared" ca="1" si="21"/>
        <v>01000000000000000000776681</v>
      </c>
      <c r="G66" s="453" t="b">
        <f t="shared" ca="1" si="22"/>
        <v>0</v>
      </c>
      <c r="H66" s="454">
        <f t="shared" si="23"/>
        <v>56</v>
      </c>
      <c r="I66" s="455">
        <f t="shared" ca="1" si="24"/>
        <v>20600</v>
      </c>
      <c r="J66" s="456" t="str">
        <f ca="1">IF(N(I66)&gt;0,VLOOKUP(I66,Hraci!$A$1:$I$1500,2,0),IF(TYPE(INDIRECT(ADDRESS(ROW() + $A$9-9 + (ROW()-11)*4,2,1,1,"Internet")))&gt;1,INDIRECT(ADDRESS(ROW() + $A$9-9 + (ROW()-11)*4,2,1,1,"Internet"))," "))</f>
        <v>Dyba</v>
      </c>
      <c r="K66" s="457" t="str">
        <f ca="1">IF(N(I66)&gt;0,VLOOKUP(I66,Hraci!$A$1:$I$1500,3,0)," ")</f>
        <v>Daniel</v>
      </c>
      <c r="L66" s="457" t="str">
        <f ca="1">IF(N(I66)&gt;0,VLOOKUP(I66,Hraci!$A$1:$I$1500,5,0),IF(TYPE(INDIRECT(ADDRESS(ROW() + $A$9-9 + (ROW()-11)*4,3,1,1,"Internet")))&gt;1,INDIRECT(ADDRESS(ROW() + $A$9-9 + (ROW()-11)*4,3,1,1,"Internet"))," "))</f>
        <v>PSK Jihlava</v>
      </c>
      <c r="M66" s="395">
        <f ca="1">IF(N(I66)=0,9999,VLOOKUP(I66,Hraci!$A$1:$I$1500,8,0))</f>
        <v>267</v>
      </c>
      <c r="N66" s="458">
        <f ca="1">IF(N(I66)=0,0,VLOOKUP(I66,Hraci!$A$1:$I$1500,9,0))</f>
        <v>13.532</v>
      </c>
      <c r="O66" s="455">
        <f t="shared" ca="1" si="25"/>
        <v>22127</v>
      </c>
      <c r="P66" s="456" t="str">
        <f ca="1">IF(N(O66)&gt;0,VLOOKUP(O66,Hraci!$A$1:$I$1500,2,0),IF(TYPE(INDIRECT(ADDRESS(ROW() + $A$9-8 + (ROW()-11)*4,2,1,1,"Internet")))&gt;1,INDIRECT(ADDRESS(ROW() + $A$9-8 + (ROW()-11)*4,2,1,1,"Internet"))," "))</f>
        <v>Dyba</v>
      </c>
      <c r="Q66" s="457" t="str">
        <f ca="1">IF(N(O66)&gt;0,VLOOKUP(O66,Hraci!$A$1:$I$1500,3,0)," ")</f>
        <v>Dalibor</v>
      </c>
      <c r="R66" s="457" t="str">
        <f ca="1">IF(N(O66)&gt;0,VLOOKUP(O66,Hraci!$A$1:$I$1500,5,0),IF(TYPE(INDIRECT(ADDRESS(ROW() + $A$9-8 + (ROW()-11)*4,3,1,1,"Internet")))&gt;1,INDIRECT(ADDRESS(ROW() + $A$9-8 + (ROW()-11)*4,3,1,1,"Internet"))," "))</f>
        <v>PSK Jihlava</v>
      </c>
      <c r="S66" s="395">
        <f ca="1">IF(N(O66)=0,9999,VLOOKUP(O66,Hraci!$A$1:$I$1500,8,0))</f>
        <v>308</v>
      </c>
      <c r="T66" s="458">
        <f ca="1">IF(N(O66)=0,0,VLOOKUP(O66,Hraci!$A$1:$I$1500,9,0))</f>
        <v>8.0640000000000001</v>
      </c>
      <c r="U66" s="455">
        <f t="shared" ca="1" si="26"/>
        <v>20583</v>
      </c>
      <c r="V66" s="456" t="str">
        <f ca="1">IF(N(U66)&gt;0,VLOOKUP(U66,Hraci!$A$1:$I$1500,2,0),IF(TYPE(INDIRECT(ADDRESS(ROW() + $A$9-7 + (ROW()-11)*4,2,1,1,"Internet")))&gt;1,INDIRECT(ADDRESS(ROW() + $A$9-7 + (ROW()-11)*4,2,1,1,"Internet"))," "))</f>
        <v>Flek</v>
      </c>
      <c r="W66" s="457" t="str">
        <f ca="1">IF(N(U66)&gt;0,VLOOKUP(U66,Hraci!$A$1:$I$1500,3,0)," ")</f>
        <v>Petr</v>
      </c>
      <c r="X66" s="457" t="str">
        <f ca="1">IF(N(U66)&gt;0,VLOOKUP(U66,Hraci!$A$1:$I$1500,5,0),IF(TYPE(INDIRECT(ADDRESS(ROW() + $A$9-7 + (ROW()-11)*4,3,1,1,"Internet")))&gt;1,INDIRECT(ADDRESS(ROW() + $A$9-7 + (ROW()-11)*4,3,1,1,"Internet"))," "))</f>
        <v>PSK Jihlava</v>
      </c>
      <c r="Y66" s="395">
        <f ca="1">IF(N(U66)=0,9999,VLOOKUP(U66,Hraci!$A$1:$I$1500,8,0))</f>
        <v>487</v>
      </c>
      <c r="Z66" s="458">
        <f ca="1">IF(N(U66)=0,0,VLOOKUP(U66,Hraci!$A$1:$I$1500,9,0))</f>
        <v>2.5470000000000002</v>
      </c>
      <c r="AA66" s="455" t="str">
        <f t="shared" ca="1" si="27"/>
        <v/>
      </c>
      <c r="AB66" s="456" t="str">
        <f ca="1">IF(N(AA66)&gt;0,VLOOKUP(AA66,Hraci!$A$1:$I$1500,2,0)," ")</f>
        <v xml:space="preserve"> </v>
      </c>
      <c r="AC66" s="457" t="str">
        <f ca="1">IF(N(AA66)&gt;0,VLOOKUP(AA66,Hraci!$A$1:$I$1500,3,0)," ")</f>
        <v xml:space="preserve"> </v>
      </c>
      <c r="AD66" s="457" t="str">
        <f ca="1">IF(N(AA66)&gt;0,VLOOKUP(AA66,Hraci!$A$1:$I$1500,5,0)," ")</f>
        <v xml:space="preserve"> </v>
      </c>
      <c r="AE66" s="395">
        <f ca="1">IF(N(AA66)=0,9999,VLOOKUP(AA66,Hraci!$A$1:$I$1500,8,0))</f>
        <v>9999</v>
      </c>
      <c r="AF66" s="458">
        <f ca="1">IF(N(AA66)=0,0,VLOOKUP(AA66,Hraci!$A$1:$I$1500,9,0))</f>
        <v>0</v>
      </c>
      <c r="AG66" s="459"/>
      <c r="AH66" s="465">
        <f ca="1">IF(TYPE(VLOOKUP(H66,Nasazení!$A$3:$E$130,5,0))&lt;4,VLOOKUP(H66,Nasazení!$A$3:$E$130,5,0),0)</f>
        <v>59</v>
      </c>
      <c r="AI66" s="460">
        <f ca="1">IF(N($AH66)&gt;0,VLOOKUP($AH66,Body!$A$4:$F$259,5,0),"")</f>
        <v>1</v>
      </c>
      <c r="AJ66" s="461">
        <f ca="1">IF(N($AH66)&gt;0,VLOOKUP($AH66,Body!$A$4:$F$259,6,0),"")</f>
        <v>0</v>
      </c>
      <c r="AK66" s="460">
        <f ca="1">IF(N($AH66)&gt;0,VLOOKUP($AH66,Body!$A$4:$F$259,2,0),"")</f>
        <v>0</v>
      </c>
      <c r="AL66" s="462" t="str">
        <f t="shared" ca="1" si="28"/>
        <v>56 PSK Jihlava - Dyba Daniel</v>
      </c>
      <c r="AM66" s="463">
        <f t="shared" ca="1" si="29"/>
        <v>24.143000000000001</v>
      </c>
      <c r="AN66" s="395">
        <f ca="1">IF(OR(TYPE(I66)&gt;1,TYPE(MATCH(I66,I67:I$139,0))&gt;1),0,MATCH(I66,I67:I$139,0))+IF(OR(TYPE(I66)&gt;1,TYPE(MATCH(I66,O$11:O$139,0))&gt;1),0,MATCH(I66,O$11:O$139,0))+IF(OR(TYPE(I66)&gt;1,TYPE(MATCH(I66,U$11:U$139,0))&gt;1),0,MATCH(I66,U$11:U$139,0))+IF(OR(TYPE(I66)&gt;1,TYPE(MATCH(I66,AA$11:AA$139,0))&gt;1),0,MATCH(I66,AA$11:AA$139,0))</f>
        <v>0</v>
      </c>
      <c r="AO66" s="395">
        <f ca="1">IF(OR(TYPE(O66)&gt;1,TYPE(MATCH(O66,I$11:I$139,0))&gt;1),0,MATCH(O66,I$11:I$139,0))+IF(OR(TYPE(O66)&gt;1,TYPE(MATCH(O66,O67:O$139,0))&gt;1),0,MATCH(O66,O67:O$139,0))+IF(OR(TYPE(O66)&gt;1,TYPE(MATCH(O66,U$11:U$139,0))&gt;1),0,MATCH(O66,U$11:U$139,0))+IF(OR(TYPE(O66)&gt;1,TYPE(MATCH(O66,AA$11:AA$139,0))&gt;1),0,MATCH(O66,AA$11:AA$139,0))</f>
        <v>0</v>
      </c>
      <c r="AP66" s="395">
        <f ca="1">IF(OR(TYPE(U66)&gt;1,TYPE(MATCH(U66,I$11:I$139,0))&gt;1),0,MATCH(U66,I$11:I$139,0))+IF(OR(TYPE(U66)&gt;1,TYPE(MATCH(U66,O$11:O$139,0))&gt;1),0,MATCH(U66,O$11:O$139,0))+IF(OR(TYPE(U66)&gt;1,TYPE(MATCH(U66,U67:U$139,0))&gt;1),0,MATCH(U66,U67:U$139,0))+IF(OR(TYPE(U66)&gt;1,TYPE(MATCH(U66,AA$11:AA$139,0))&gt;1),0,MATCH(U66,AA$11:AA$139,0))</f>
        <v>0</v>
      </c>
      <c r="AQ66" s="395">
        <f ca="1">IF(OR(TYPE(AA66)&gt;1,TYPE(MATCH(AA66,I$11:I$139,0))&gt;1),0,MATCH(AA66,I$11:I$139,0))+IF(OR(TYPE(AA66)&gt;1,TYPE(MATCH(AA66,O$11:O$139,0))&gt;1),0,MATCH(AA66,O$11:O$139,0))+IF(OR(TYPE(AA66)&gt;1,TYPE(MATCH(AA66,U$11:U$139,0))&gt;1),0,MATCH(U66,U$11:U$139,0))+IF(OR(TYPE(AA66)&gt;1,TYPE(MATCH(AA66,AA67:AA$139,0))&gt;1),0,MATCH(AA66,AA67:AA$139,0))</f>
        <v>0</v>
      </c>
      <c r="AR66" s="395">
        <f t="shared" ca="1" si="14"/>
        <v>0</v>
      </c>
      <c r="BF66" s="395">
        <f t="shared" si="15"/>
        <v>56</v>
      </c>
    </row>
    <row r="67" spans="1:58" ht="12.9">
      <c r="A67" s="387">
        <f t="shared" ca="1" si="16"/>
        <v>3</v>
      </c>
      <c r="B67" s="387">
        <f t="shared" ca="1" si="17"/>
        <v>1</v>
      </c>
      <c r="C67" s="387">
        <f t="shared" ca="1" si="18"/>
        <v>9.7510000000000012</v>
      </c>
      <c r="D67" s="387">
        <f t="shared" ca="1" si="19"/>
        <v>1590</v>
      </c>
      <c r="E67" s="387">
        <f t="shared" ca="1" si="20"/>
        <v>396</v>
      </c>
      <c r="F67" s="417" t="str">
        <f t="shared" ca="1" si="21"/>
        <v>01000000000000000000925511</v>
      </c>
      <c r="G67" s="453" t="b">
        <f t="shared" ca="1" si="22"/>
        <v>0</v>
      </c>
      <c r="H67" s="454">
        <f t="shared" si="23"/>
        <v>57</v>
      </c>
      <c r="I67" s="455">
        <f t="shared" ca="1" si="24"/>
        <v>24534</v>
      </c>
      <c r="J67" s="456" t="str">
        <f ca="1">IF(N(I67)&gt;0,VLOOKUP(I67,Hraci!$A$1:$I$1500,2,0),IF(TYPE(INDIRECT(ADDRESS(ROW() + $A$9-9 + (ROW()-11)*4,2,1,1,"Internet")))&gt;1,INDIRECT(ADDRESS(ROW() + $A$9-9 + (ROW()-11)*4,2,1,1,"Internet"))," "))</f>
        <v>Krupicová</v>
      </c>
      <c r="K67" s="457" t="str">
        <f ca="1">IF(N(I67)&gt;0,VLOOKUP(I67,Hraci!$A$1:$I$1500,3,0)," ")</f>
        <v>Natálie</v>
      </c>
      <c r="L67" s="457" t="str">
        <f ca="1">IF(N(I67)&gt;0,VLOOKUP(I67,Hraci!$A$1:$I$1500,5,0),IF(TYPE(INDIRECT(ADDRESS(ROW() + $A$9-9 + (ROW()-11)*4,3,1,1,"Internet")))&gt;1,INDIRECT(ADDRESS(ROW() + $A$9-9 + (ROW()-11)*4,3,1,1,"Internet"))," "))</f>
        <v>PSK Jihlava</v>
      </c>
      <c r="M67" s="395">
        <f ca="1">IF(N(I67)=0,9999,VLOOKUP(I67,Hraci!$A$1:$I$1500,8,0))</f>
        <v>477</v>
      </c>
      <c r="N67" s="458">
        <f ca="1">IF(N(I67)=0,0,VLOOKUP(I67,Hraci!$A$1:$I$1500,9,0))</f>
        <v>3</v>
      </c>
      <c r="O67" s="455">
        <f t="shared" ca="1" si="25"/>
        <v>23258</v>
      </c>
      <c r="P67" s="456" t="str">
        <f ca="1">IF(N(O67)&gt;0,VLOOKUP(O67,Hraci!$A$1:$I$1500,2,0),IF(TYPE(INDIRECT(ADDRESS(ROW() + $A$9-8 + (ROW()-11)*4,2,1,1,"Internet")))&gt;1,INDIRECT(ADDRESS(ROW() + $A$9-8 + (ROW()-11)*4,2,1,1,"Internet"))," "))</f>
        <v>Brabenec</v>
      </c>
      <c r="Q67" s="457" t="str">
        <f ca="1">IF(N(O67)&gt;0,VLOOKUP(O67,Hraci!$A$1:$I$1500,3,0)," ")</f>
        <v>Patrik</v>
      </c>
      <c r="R67" s="457" t="str">
        <f ca="1">IF(N(O67)&gt;0,VLOOKUP(O67,Hraci!$A$1:$I$1500,5,0),IF(TYPE(INDIRECT(ADDRESS(ROW() + $A$9-8 + (ROW()-11)*4,3,1,1,"Internet")))&gt;1,INDIRECT(ADDRESS(ROW() + $A$9-8 + (ROW()-11)*4,3,1,1,"Internet"))," "))</f>
        <v>PSK Jihlava</v>
      </c>
      <c r="S67" s="395">
        <f ca="1">IF(N(O67)=0,9999,VLOOKUP(O67,Hraci!$A$1:$I$1500,8,0))</f>
        <v>396</v>
      </c>
      <c r="T67" s="458">
        <f ca="1">IF(N(O67)=0,0,VLOOKUP(O67,Hraci!$A$1:$I$1500,9,0))</f>
        <v>6.7510000000000003</v>
      </c>
      <c r="U67" s="455">
        <f t="shared" ca="1" si="26"/>
        <v>24547</v>
      </c>
      <c r="V67" s="456" t="str">
        <f ca="1">IF(N(U67)&gt;0,VLOOKUP(U67,Hraci!$A$1:$I$1500,2,0),IF(TYPE(INDIRECT(ADDRESS(ROW() + $A$9-7 + (ROW()-11)*4,2,1,1,"Internet")))&gt;1,INDIRECT(ADDRESS(ROW() + $A$9-7 + (ROW()-11)*4,2,1,1,"Internet"))," "))</f>
        <v>Pokorný</v>
      </c>
      <c r="W67" s="457" t="str">
        <f ca="1">IF(N(U67)&gt;0,VLOOKUP(U67,Hraci!$A$1:$I$1500,3,0)," ")</f>
        <v>Karel</v>
      </c>
      <c r="X67" s="457" t="str">
        <f ca="1">IF(N(U67)&gt;0,VLOOKUP(U67,Hraci!$A$1:$I$1500,5,0),IF(TYPE(INDIRECT(ADDRESS(ROW() + $A$9-7 + (ROW()-11)*4,3,1,1,"Internet")))&gt;1,INDIRECT(ADDRESS(ROW() + $A$9-7 + (ROW()-11)*4,3,1,1,"Internet"))," "))</f>
        <v>PSK Jihlava</v>
      </c>
      <c r="Y67" s="395">
        <f ca="1">IF(N(U67)=0,9999,VLOOKUP(U67,Hraci!$A$1:$I$1500,8,0))</f>
        <v>717</v>
      </c>
      <c r="Z67" s="458">
        <f ca="1">IF(N(U67)=0,0,VLOOKUP(U67,Hraci!$A$1:$I$1500,9,0))</f>
        <v>0</v>
      </c>
      <c r="AA67" s="455" t="str">
        <f t="shared" ca="1" si="27"/>
        <v/>
      </c>
      <c r="AB67" s="456" t="str">
        <f ca="1">IF(N(AA67)&gt;0,VLOOKUP(AA67,Hraci!$A$1:$I$1500,2,0)," ")</f>
        <v xml:space="preserve"> </v>
      </c>
      <c r="AC67" s="457" t="str">
        <f ca="1">IF(N(AA67)&gt;0,VLOOKUP(AA67,Hraci!$A$1:$I$1500,3,0)," ")</f>
        <v xml:space="preserve"> </v>
      </c>
      <c r="AD67" s="457" t="str">
        <f ca="1">IF(N(AA67)&gt;0,VLOOKUP(AA67,Hraci!$A$1:$I$1500,5,0)," ")</f>
        <v xml:space="preserve"> </v>
      </c>
      <c r="AE67" s="395">
        <f ca="1">IF(N(AA67)=0,9999,VLOOKUP(AA67,Hraci!$A$1:$I$1500,8,0))</f>
        <v>9999</v>
      </c>
      <c r="AF67" s="458">
        <f ca="1">IF(N(AA67)=0,0,VLOOKUP(AA67,Hraci!$A$1:$I$1500,9,0))</f>
        <v>0</v>
      </c>
      <c r="AG67" s="459"/>
      <c r="AH67" s="465">
        <f ca="1">IF(TYPE(VLOOKUP(H67,Nasazení!$A$3:$E$130,5,0))&lt;4,VLOOKUP(H67,Nasazení!$A$3:$E$130,5,0),0)</f>
        <v>59</v>
      </c>
      <c r="AI67" s="460">
        <f ca="1">IF(N($AH67)&gt;0,VLOOKUP($AH67,Body!$A$4:$F$259,5,0),"")</f>
        <v>1</v>
      </c>
      <c r="AJ67" s="461">
        <f ca="1">IF(N($AH67)&gt;0,VLOOKUP($AH67,Body!$A$4:$F$259,6,0),"")</f>
        <v>0</v>
      </c>
      <c r="AK67" s="460">
        <f ca="1">IF(N($AH67)&gt;0,VLOOKUP($AH67,Body!$A$4:$F$259,2,0),"")</f>
        <v>0</v>
      </c>
      <c r="AL67" s="462" t="str">
        <f t="shared" ca="1" si="28"/>
        <v>57 PSK Jihlava - Krupicová Natálie</v>
      </c>
      <c r="AM67" s="463">
        <f t="shared" ca="1" si="29"/>
        <v>9.7510000000000012</v>
      </c>
      <c r="AN67" s="395">
        <f ca="1">IF(OR(TYPE(I67)&gt;1,TYPE(MATCH(I67,I68:I$139,0))&gt;1),0,MATCH(I67,I68:I$139,0))+IF(OR(TYPE(I67)&gt;1,TYPE(MATCH(I67,O$11:O$139,0))&gt;1),0,MATCH(I67,O$11:O$139,0))+IF(OR(TYPE(I67)&gt;1,TYPE(MATCH(I67,U$11:U$139,0))&gt;1),0,MATCH(I67,U$11:U$139,0))+IF(OR(TYPE(I67)&gt;1,TYPE(MATCH(I67,AA$11:AA$139,0))&gt;1),0,MATCH(I67,AA$11:AA$139,0))</f>
        <v>0</v>
      </c>
      <c r="AO67" s="395">
        <f ca="1">IF(OR(TYPE(O67)&gt;1,TYPE(MATCH(O67,I$11:I$139,0))&gt;1),0,MATCH(O67,I$11:I$139,0))+IF(OR(TYPE(O67)&gt;1,TYPE(MATCH(O67,O68:O$139,0))&gt;1),0,MATCH(O67,O68:O$139,0))+IF(OR(TYPE(O67)&gt;1,TYPE(MATCH(O67,U$11:U$139,0))&gt;1),0,MATCH(O67,U$11:U$139,0))+IF(OR(TYPE(O67)&gt;1,TYPE(MATCH(O67,AA$11:AA$139,0))&gt;1),0,MATCH(O67,AA$11:AA$139,0))</f>
        <v>0</v>
      </c>
      <c r="AP67" s="395">
        <f ca="1">IF(OR(TYPE(U67)&gt;1,TYPE(MATCH(U67,I$11:I$139,0))&gt;1),0,MATCH(U67,I$11:I$139,0))+IF(OR(TYPE(U67)&gt;1,TYPE(MATCH(U67,O$11:O$139,0))&gt;1),0,MATCH(U67,O$11:O$139,0))+IF(OR(TYPE(U67)&gt;1,TYPE(MATCH(U67,U68:U$139,0))&gt;1),0,MATCH(U67,U68:U$139,0))+IF(OR(TYPE(U67)&gt;1,TYPE(MATCH(U67,AA$11:AA$139,0))&gt;1),0,MATCH(U67,AA$11:AA$139,0))</f>
        <v>0</v>
      </c>
      <c r="AQ67" s="395">
        <f ca="1">IF(OR(TYPE(AA67)&gt;1,TYPE(MATCH(AA67,I$11:I$139,0))&gt;1),0,MATCH(AA67,I$11:I$139,0))+IF(OR(TYPE(AA67)&gt;1,TYPE(MATCH(AA67,O$11:O$139,0))&gt;1),0,MATCH(AA67,O$11:O$139,0))+IF(OR(TYPE(AA67)&gt;1,TYPE(MATCH(AA67,U$11:U$139,0))&gt;1),0,MATCH(U67,U$11:U$139,0))+IF(OR(TYPE(AA67)&gt;1,TYPE(MATCH(AA67,AA68:AA$139,0))&gt;1),0,MATCH(AA67,AA68:AA$139,0))</f>
        <v>0</v>
      </c>
      <c r="AR67" s="395">
        <f t="shared" ca="1" si="14"/>
        <v>0</v>
      </c>
      <c r="BF67" s="395">
        <f t="shared" si="15"/>
        <v>57</v>
      </c>
    </row>
    <row r="68" spans="1:58" ht="12.9">
      <c r="A68" s="387">
        <f t="shared" ca="1" si="16"/>
        <v>3</v>
      </c>
      <c r="B68" s="387">
        <f t="shared" ca="1" si="17"/>
        <v>1</v>
      </c>
      <c r="C68" s="387">
        <f t="shared" ca="1" si="18"/>
        <v>8.0630000000000006</v>
      </c>
      <c r="D68" s="387">
        <f t="shared" ca="1" si="19"/>
        <v>1601</v>
      </c>
      <c r="E68" s="387">
        <f t="shared" ca="1" si="20"/>
        <v>422</v>
      </c>
      <c r="F68" s="417" t="str">
        <f t="shared" ca="1" si="21"/>
        <v>01000000000000000000545345</v>
      </c>
      <c r="G68" s="453" t="b">
        <f t="shared" ca="1" si="22"/>
        <v>0</v>
      </c>
      <c r="H68" s="454">
        <f t="shared" si="23"/>
        <v>58</v>
      </c>
      <c r="I68" s="455">
        <f t="shared" ca="1" si="24"/>
        <v>22124</v>
      </c>
      <c r="J68" s="456" t="str">
        <f ca="1">IF(N(I68)&gt;0,VLOOKUP(I68,Hraci!$A$1:$I$1500,2,0),IF(TYPE(INDIRECT(ADDRESS(ROW() + $A$9-9 + (ROW()-11)*4,2,1,1,"Internet")))&gt;1,INDIRECT(ADDRESS(ROW() + $A$9-9 + (ROW()-11)*4,2,1,1,"Internet"))," "))</f>
        <v>Žáková</v>
      </c>
      <c r="K68" s="457" t="str">
        <f ca="1">IF(N(I68)&gt;0,VLOOKUP(I68,Hraci!$A$1:$I$1500,3,0)," ")</f>
        <v>Naděžda</v>
      </c>
      <c r="L68" s="457" t="str">
        <f ca="1">IF(N(I68)&gt;0,VLOOKUP(I68,Hraci!$A$1:$I$1500,5,0),IF(TYPE(INDIRECT(ADDRESS(ROW() + $A$9-9 + (ROW()-11)*4,3,1,1,"Internet")))&gt;1,INDIRECT(ADDRESS(ROW() + $A$9-9 + (ROW()-11)*4,3,1,1,"Internet"))," "))</f>
        <v>PSK Jihlava</v>
      </c>
      <c r="M68" s="395">
        <f ca="1">IF(N(I68)=0,9999,VLOOKUP(I68,Hraci!$A$1:$I$1500,8,0))</f>
        <v>470</v>
      </c>
      <c r="N68" s="458">
        <f ca="1">IF(N(I68)=0,0,VLOOKUP(I68,Hraci!$A$1:$I$1500,9,0))</f>
        <v>3.6880000000000002</v>
      </c>
      <c r="O68" s="455">
        <f t="shared" ca="1" si="25"/>
        <v>24517</v>
      </c>
      <c r="P68" s="456" t="str">
        <f ca="1">IF(N(O68)&gt;0,VLOOKUP(O68,Hraci!$A$1:$I$1500,2,0),IF(TYPE(INDIRECT(ADDRESS(ROW() + $A$9-8 + (ROW()-11)*4,2,1,1,"Internet")))&gt;1,INDIRECT(ADDRESS(ROW() + $A$9-8 + (ROW()-11)*4,2,1,1,"Internet"))," "))</f>
        <v>Fišerová</v>
      </c>
      <c r="Q68" s="457" t="str">
        <f ca="1">IF(N(O68)&gt;0,VLOOKUP(O68,Hraci!$A$1:$I$1500,3,0)," ")</f>
        <v>Dana</v>
      </c>
      <c r="R68" s="457" t="str">
        <f ca="1">IF(N(O68)&gt;0,VLOOKUP(O68,Hraci!$A$1:$I$1500,5,0),IF(TYPE(INDIRECT(ADDRESS(ROW() + $A$9-8 + (ROW()-11)*4,3,1,1,"Internet")))&gt;1,INDIRECT(ADDRESS(ROW() + $A$9-8 + (ROW()-11)*4,3,1,1,"Internet"))," "))</f>
        <v>PSK Jihlava</v>
      </c>
      <c r="S68" s="395">
        <f ca="1">IF(N(O68)=0,9999,VLOOKUP(O68,Hraci!$A$1:$I$1500,8,0))</f>
        <v>422</v>
      </c>
      <c r="T68" s="458">
        <f ca="1">IF(N(O68)=0,0,VLOOKUP(O68,Hraci!$A$1:$I$1500,9,0))</f>
        <v>4.375</v>
      </c>
      <c r="U68" s="455">
        <f t="shared" ca="1" si="26"/>
        <v>20592</v>
      </c>
      <c r="V68" s="456" t="str">
        <f ca="1">IF(N(U68)&gt;0,VLOOKUP(U68,Hraci!$A$1:$I$1500,2,0),IF(TYPE(INDIRECT(ADDRESS(ROW() + $A$9-7 + (ROW()-11)*4,2,1,1,"Internet")))&gt;1,INDIRECT(ADDRESS(ROW() + $A$9-7 + (ROW()-11)*4,2,1,1,"Internet"))," "))</f>
        <v>Pavlíková</v>
      </c>
      <c r="W68" s="457" t="str">
        <f ca="1">IF(N(U68)&gt;0,VLOOKUP(U68,Hraci!$A$1:$I$1500,3,0)," ")</f>
        <v>Marie</v>
      </c>
      <c r="X68" s="457" t="str">
        <f ca="1">IF(N(U68)&gt;0,VLOOKUP(U68,Hraci!$A$1:$I$1500,5,0),IF(TYPE(INDIRECT(ADDRESS(ROW() + $A$9-7 + (ROW()-11)*4,3,1,1,"Internet")))&gt;1,INDIRECT(ADDRESS(ROW() + $A$9-7 + (ROW()-11)*4,3,1,1,"Internet"))," "))</f>
        <v>PSK Jihlava</v>
      </c>
      <c r="Y68" s="395">
        <f ca="1">IF(N(U68)=0,9999,VLOOKUP(U68,Hraci!$A$1:$I$1500,8,0))</f>
        <v>709</v>
      </c>
      <c r="Z68" s="458">
        <f ca="1">IF(N(U68)=0,0,VLOOKUP(U68,Hraci!$A$1:$I$1500,9,0))</f>
        <v>0</v>
      </c>
      <c r="AA68" s="455" t="str">
        <f t="shared" ca="1" si="27"/>
        <v/>
      </c>
      <c r="AB68" s="456" t="str">
        <f ca="1">IF(N(AA68)&gt;0,VLOOKUP(AA68,Hraci!$A$1:$I$1500,2,0)," ")</f>
        <v xml:space="preserve"> </v>
      </c>
      <c r="AC68" s="457" t="str">
        <f ca="1">IF(N(AA68)&gt;0,VLOOKUP(AA68,Hraci!$A$1:$I$1500,3,0)," ")</f>
        <v xml:space="preserve"> </v>
      </c>
      <c r="AD68" s="457" t="str">
        <f ca="1">IF(N(AA68)&gt;0,VLOOKUP(AA68,Hraci!$A$1:$I$1500,5,0)," ")</f>
        <v xml:space="preserve"> </v>
      </c>
      <c r="AE68" s="395">
        <f ca="1">IF(N(AA68)=0,9999,VLOOKUP(AA68,Hraci!$A$1:$I$1500,8,0))</f>
        <v>9999</v>
      </c>
      <c r="AF68" s="458">
        <f ca="1">IF(N(AA68)=0,0,VLOOKUP(AA68,Hraci!$A$1:$I$1500,9,0))</f>
        <v>0</v>
      </c>
      <c r="AG68" s="459"/>
      <c r="AH68" s="465">
        <f ca="1">IF(TYPE(VLOOKUP(H68,Nasazení!$A$3:$E$130,5,0))&lt;4,VLOOKUP(H68,Nasazení!$A$3:$E$130,5,0),0)</f>
        <v>59</v>
      </c>
      <c r="AI68" s="460">
        <f ca="1">IF(N($AH68)&gt;0,VLOOKUP($AH68,Body!$A$4:$F$259,5,0),"")</f>
        <v>1</v>
      </c>
      <c r="AJ68" s="461">
        <f ca="1">IF(N($AH68)&gt;0,VLOOKUP($AH68,Body!$A$4:$F$259,6,0),"")</f>
        <v>0</v>
      </c>
      <c r="AK68" s="460">
        <f ca="1">IF(N($AH68)&gt;0,VLOOKUP($AH68,Body!$A$4:$F$259,2,0),"")</f>
        <v>0</v>
      </c>
      <c r="AL68" s="462" t="str">
        <f t="shared" ca="1" si="28"/>
        <v>58 PSK Jihlava - Žáková Naděžda</v>
      </c>
      <c r="AM68" s="463">
        <f t="shared" ca="1" si="29"/>
        <v>8.0630000000000006</v>
      </c>
      <c r="AN68" s="395">
        <f ca="1">IF(OR(TYPE(I68)&gt;1,TYPE(MATCH(I68,I69:I$139,0))&gt;1),0,MATCH(I68,I69:I$139,0))+IF(OR(TYPE(I68)&gt;1,TYPE(MATCH(I68,O$11:O$139,0))&gt;1),0,MATCH(I68,O$11:O$139,0))+IF(OR(TYPE(I68)&gt;1,TYPE(MATCH(I68,U$11:U$139,0))&gt;1),0,MATCH(I68,U$11:U$139,0))+IF(OR(TYPE(I68)&gt;1,TYPE(MATCH(I68,AA$11:AA$139,0))&gt;1),0,MATCH(I68,AA$11:AA$139,0))</f>
        <v>0</v>
      </c>
      <c r="AO68" s="395">
        <f ca="1">IF(OR(TYPE(O68)&gt;1,TYPE(MATCH(O68,I$11:I$139,0))&gt;1),0,MATCH(O68,I$11:I$139,0))+IF(OR(TYPE(O68)&gt;1,TYPE(MATCH(O68,O69:O$139,0))&gt;1),0,MATCH(O68,O69:O$139,0))+IF(OR(TYPE(O68)&gt;1,TYPE(MATCH(O68,U$11:U$139,0))&gt;1),0,MATCH(O68,U$11:U$139,0))+IF(OR(TYPE(O68)&gt;1,TYPE(MATCH(O68,AA$11:AA$139,0))&gt;1),0,MATCH(O68,AA$11:AA$139,0))</f>
        <v>0</v>
      </c>
      <c r="AP68" s="395">
        <f ca="1">IF(OR(TYPE(U68)&gt;1,TYPE(MATCH(U68,I$11:I$139,0))&gt;1),0,MATCH(U68,I$11:I$139,0))+IF(OR(TYPE(U68)&gt;1,TYPE(MATCH(U68,O$11:O$139,0))&gt;1),0,MATCH(U68,O$11:O$139,0))+IF(OR(TYPE(U68)&gt;1,TYPE(MATCH(U68,U69:U$139,0))&gt;1),0,MATCH(U68,U69:U$139,0))+IF(OR(TYPE(U68)&gt;1,TYPE(MATCH(U68,AA$11:AA$139,0))&gt;1),0,MATCH(U68,AA$11:AA$139,0))</f>
        <v>0</v>
      </c>
      <c r="AQ68" s="395">
        <f ca="1">IF(OR(TYPE(AA68)&gt;1,TYPE(MATCH(AA68,I$11:I$139,0))&gt;1),0,MATCH(AA68,I$11:I$139,0))+IF(OR(TYPE(AA68)&gt;1,TYPE(MATCH(AA68,O$11:O$139,0))&gt;1),0,MATCH(AA68,O$11:O$139,0))+IF(OR(TYPE(AA68)&gt;1,TYPE(MATCH(AA68,U$11:U$139,0))&gt;1),0,MATCH(U68,U$11:U$139,0))+IF(OR(TYPE(AA68)&gt;1,TYPE(MATCH(AA68,AA69:AA$139,0))&gt;1),0,MATCH(AA68,AA69:AA$139,0))</f>
        <v>0</v>
      </c>
      <c r="AR68" s="395">
        <f t="shared" ca="1" si="14"/>
        <v>0</v>
      </c>
      <c r="BF68" s="395">
        <f t="shared" si="15"/>
        <v>58</v>
      </c>
    </row>
    <row r="69" spans="1:58" ht="12.9">
      <c r="A69" s="387">
        <f t="shared" ca="1" si="16"/>
        <v>3</v>
      </c>
      <c r="B69" s="387">
        <f t="shared" ca="1" si="17"/>
        <v>1</v>
      </c>
      <c r="C69" s="387">
        <f t="shared" ca="1" si="18"/>
        <v>6.0629999999999997</v>
      </c>
      <c r="D69" s="387">
        <f t="shared" ca="1" si="19"/>
        <v>1675</v>
      </c>
      <c r="E69" s="387">
        <f t="shared" ca="1" si="20"/>
        <v>457</v>
      </c>
      <c r="F69" s="417" t="str">
        <f t="shared" ca="1" si="21"/>
        <v>01000000000000000000498329</v>
      </c>
      <c r="G69" s="453" t="b">
        <f t="shared" ca="1" si="22"/>
        <v>0</v>
      </c>
      <c r="H69" s="454">
        <f t="shared" si="23"/>
        <v>59</v>
      </c>
      <c r="I69" s="455">
        <f t="shared" ca="1" si="24"/>
        <v>22128</v>
      </c>
      <c r="J69" s="456" t="str">
        <f ca="1">IF(N(I69)&gt;0,VLOOKUP(I69,Hraci!$A$1:$I$1500,2,0),IF(TYPE(INDIRECT(ADDRESS(ROW() + $A$9-9 + (ROW()-11)*4,2,1,1,"Internet")))&gt;1,INDIRECT(ADDRESS(ROW() + $A$9-9 + (ROW()-11)*4,2,1,1,"Internet"))," "))</f>
        <v>Půža</v>
      </c>
      <c r="K69" s="457" t="str">
        <f ca="1">IF(N(I69)&gt;0,VLOOKUP(I69,Hraci!$A$1:$I$1500,3,0)," ")</f>
        <v>Jan</v>
      </c>
      <c r="L69" s="457" t="str">
        <f ca="1">IF(N(I69)&gt;0,VLOOKUP(I69,Hraci!$A$1:$I$1500,5,0),IF(TYPE(INDIRECT(ADDRESS(ROW() + $A$9-9 + (ROW()-11)*4,3,1,1,"Internet")))&gt;1,INDIRECT(ADDRESS(ROW() + $A$9-9 + (ROW()-11)*4,3,1,1,"Internet"))," "))</f>
        <v>PSK Jihlava</v>
      </c>
      <c r="M69" s="395">
        <f ca="1">IF(N(I69)=0,9999,VLOOKUP(I69,Hraci!$A$1:$I$1500,8,0))</f>
        <v>529</v>
      </c>
      <c r="N69" s="458">
        <f ca="1">IF(N(I69)=0,0,VLOOKUP(I69,Hraci!$A$1:$I$1500,9,0))</f>
        <v>2</v>
      </c>
      <c r="O69" s="455">
        <f t="shared" ca="1" si="25"/>
        <v>22129</v>
      </c>
      <c r="P69" s="456" t="str">
        <f ca="1">IF(N(O69)&gt;0,VLOOKUP(O69,Hraci!$A$1:$I$1500,2,0),IF(TYPE(INDIRECT(ADDRESS(ROW() + $A$9-8 + (ROW()-11)*4,2,1,1,"Internet")))&gt;1,INDIRECT(ADDRESS(ROW() + $A$9-8 + (ROW()-11)*4,2,1,1,"Internet"))," "))</f>
        <v>Marešová</v>
      </c>
      <c r="Q69" s="457" t="str">
        <f ca="1">IF(N(O69)&gt;0,VLOOKUP(O69,Hraci!$A$1:$I$1500,3,0)," ")</f>
        <v>Marie</v>
      </c>
      <c r="R69" s="457" t="str">
        <f ca="1">IF(N(O69)&gt;0,VLOOKUP(O69,Hraci!$A$1:$I$1500,5,0),IF(TYPE(INDIRECT(ADDRESS(ROW() + $A$9-8 + (ROW()-11)*4,3,1,1,"Internet")))&gt;1,INDIRECT(ADDRESS(ROW() + $A$9-8 + (ROW()-11)*4,3,1,1,"Internet"))," "))</f>
        <v>PSK Jihlava</v>
      </c>
      <c r="S69" s="395">
        <f ca="1">IF(N(O69)=0,9999,VLOOKUP(O69,Hraci!$A$1:$I$1500,8,0))</f>
        <v>689</v>
      </c>
      <c r="T69" s="458">
        <f ca="1">IF(N(O69)=0,0,VLOOKUP(O69,Hraci!$A$1:$I$1500,9,0))</f>
        <v>0</v>
      </c>
      <c r="U69" s="455">
        <f t="shared" ca="1" si="26"/>
        <v>20601</v>
      </c>
      <c r="V69" s="456" t="str">
        <f ca="1">IF(N(U69)&gt;0,VLOOKUP(U69,Hraci!$A$1:$I$1500,2,0),IF(TYPE(INDIRECT(ADDRESS(ROW() + $A$9-7 + (ROW()-11)*4,2,1,1,"Internet")))&gt;1,INDIRECT(ADDRESS(ROW() + $A$9-7 + (ROW()-11)*4,2,1,1,"Internet"))," "))</f>
        <v>Litvin</v>
      </c>
      <c r="W69" s="457" t="str">
        <f ca="1">IF(N(U69)&gt;0,VLOOKUP(U69,Hraci!$A$1:$I$1500,3,0)," ")</f>
        <v>Vasil</v>
      </c>
      <c r="X69" s="457" t="str">
        <f ca="1">IF(N(U69)&gt;0,VLOOKUP(U69,Hraci!$A$1:$I$1500,5,0),IF(TYPE(INDIRECT(ADDRESS(ROW() + $A$9-7 + (ROW()-11)*4,3,1,1,"Internet")))&gt;1,INDIRECT(ADDRESS(ROW() + $A$9-7 + (ROW()-11)*4,3,1,1,"Internet"))," "))</f>
        <v>PSK Jihlava</v>
      </c>
      <c r="Y69" s="395">
        <f ca="1">IF(N(U69)=0,9999,VLOOKUP(U69,Hraci!$A$1:$I$1500,8,0))</f>
        <v>457</v>
      </c>
      <c r="Z69" s="458">
        <f ca="1">IF(N(U69)=0,0,VLOOKUP(U69,Hraci!$A$1:$I$1500,9,0))</f>
        <v>4.0629999999999997</v>
      </c>
      <c r="AA69" s="455" t="str">
        <f t="shared" ca="1" si="27"/>
        <v/>
      </c>
      <c r="AB69" s="456" t="str">
        <f ca="1">IF(N(AA69)&gt;0,VLOOKUP(AA69,Hraci!$A$1:$I$1500,2,0)," ")</f>
        <v xml:space="preserve"> </v>
      </c>
      <c r="AC69" s="457" t="str">
        <f ca="1">IF(N(AA69)&gt;0,VLOOKUP(AA69,Hraci!$A$1:$I$1500,3,0)," ")</f>
        <v xml:space="preserve"> </v>
      </c>
      <c r="AD69" s="457" t="str">
        <f ca="1">IF(N(AA69)&gt;0,VLOOKUP(AA69,Hraci!$A$1:$I$1500,5,0)," ")</f>
        <v xml:space="preserve"> </v>
      </c>
      <c r="AE69" s="395">
        <f ca="1">IF(N(AA69)=0,9999,VLOOKUP(AA69,Hraci!$A$1:$I$1500,8,0))</f>
        <v>9999</v>
      </c>
      <c r="AF69" s="458">
        <f ca="1">IF(N(AA69)=0,0,VLOOKUP(AA69,Hraci!$A$1:$I$1500,9,0))</f>
        <v>0</v>
      </c>
      <c r="AG69" s="459"/>
      <c r="AH69" s="465">
        <v>48</v>
      </c>
      <c r="AI69" s="460">
        <f ca="1">IF(N($AH69)&gt;0,VLOOKUP($AH69,Body!$A$4:$F$259,5,0),"")</f>
        <v>19.037218750000001</v>
      </c>
      <c r="AJ69" s="461">
        <f ca="1">IF(N($AH69)&gt;0,VLOOKUP($AH69,Body!$A$4:$F$259,6,0),"")</f>
        <v>0</v>
      </c>
      <c r="AK69" s="460">
        <f ca="1">IF(N($AH69)&gt;0,VLOOKUP($AH69,Body!$A$4:$F$259,2,0),"")</f>
        <v>0.5</v>
      </c>
      <c r="AL69" s="462" t="str">
        <f t="shared" ca="1" si="28"/>
        <v>59 PSK Jihlava - Půža Jan</v>
      </c>
      <c r="AM69" s="463">
        <f t="shared" ca="1" si="29"/>
        <v>6.0629999999999997</v>
      </c>
      <c r="AN69" s="395">
        <f ca="1">IF(OR(TYPE(I69)&gt;1,TYPE(MATCH(I69,I70:I$139,0))&gt;1),0,MATCH(I69,I70:I$139,0))+IF(OR(TYPE(I69)&gt;1,TYPE(MATCH(I69,O$11:O$139,0))&gt;1),0,MATCH(I69,O$11:O$139,0))+IF(OR(TYPE(I69)&gt;1,TYPE(MATCH(I69,U$11:U$139,0))&gt;1),0,MATCH(I69,U$11:U$139,0))+IF(OR(TYPE(I69)&gt;1,TYPE(MATCH(I69,AA$11:AA$139,0))&gt;1),0,MATCH(I69,AA$11:AA$139,0))</f>
        <v>0</v>
      </c>
      <c r="AO69" s="395">
        <f ca="1">IF(OR(TYPE(O69)&gt;1,TYPE(MATCH(O69,I$11:I$139,0))&gt;1),0,MATCH(O69,I$11:I$139,0))+IF(OR(TYPE(O69)&gt;1,TYPE(MATCH(O69,O70:O$139,0))&gt;1),0,MATCH(O69,O70:O$139,0))+IF(OR(TYPE(O69)&gt;1,TYPE(MATCH(O69,U$11:U$139,0))&gt;1),0,MATCH(O69,U$11:U$139,0))+IF(OR(TYPE(O69)&gt;1,TYPE(MATCH(O69,AA$11:AA$139,0))&gt;1),0,MATCH(O69,AA$11:AA$139,0))</f>
        <v>0</v>
      </c>
      <c r="AP69" s="395">
        <f ca="1">IF(OR(TYPE(U69)&gt;1,TYPE(MATCH(U69,I$11:I$139,0))&gt;1),0,MATCH(U69,I$11:I$139,0))+IF(OR(TYPE(U69)&gt;1,TYPE(MATCH(U69,O$11:O$139,0))&gt;1),0,MATCH(U69,O$11:O$139,0))+IF(OR(TYPE(U69)&gt;1,TYPE(MATCH(U69,U70:U$139,0))&gt;1),0,MATCH(U69,U70:U$139,0))+IF(OR(TYPE(U69)&gt;1,TYPE(MATCH(U69,AA$11:AA$139,0))&gt;1),0,MATCH(U69,AA$11:AA$139,0))</f>
        <v>0</v>
      </c>
      <c r="AQ69" s="395">
        <f ca="1">IF(OR(TYPE(AA69)&gt;1,TYPE(MATCH(AA69,I$11:I$139,0))&gt;1),0,MATCH(AA69,I$11:I$139,0))+IF(OR(TYPE(AA69)&gt;1,TYPE(MATCH(AA69,O$11:O$139,0))&gt;1),0,MATCH(AA69,O$11:O$139,0))+IF(OR(TYPE(AA69)&gt;1,TYPE(MATCH(AA69,U$11:U$139,0))&gt;1),0,MATCH(U69,U$11:U$139,0))+IF(OR(TYPE(AA69)&gt;1,TYPE(MATCH(AA69,AA70:AA$139,0))&gt;1),0,MATCH(AA69,AA70:AA$139,0))</f>
        <v>0</v>
      </c>
      <c r="AR69" s="395">
        <f t="shared" ca="1" si="14"/>
        <v>0</v>
      </c>
      <c r="BF69" s="395">
        <f t="shared" si="15"/>
        <v>59</v>
      </c>
    </row>
    <row r="70" spans="1:58" ht="12.9">
      <c r="A70" s="387">
        <f t="shared" ca="1" si="16"/>
        <v>0</v>
      </c>
      <c r="B70" s="387">
        <f t="shared" ca="1" si="17"/>
        <v>0</v>
      </c>
      <c r="C70" s="387">
        <f t="shared" ca="1" si="18"/>
        <v>0</v>
      </c>
      <c r="D70" s="387">
        <f t="shared" ca="1" si="19"/>
        <v>99999</v>
      </c>
      <c r="E70" s="387">
        <f t="shared" ca="1" si="20"/>
        <v>9999</v>
      </c>
      <c r="F70" s="417" t="str">
        <f t="shared" ca="1" si="21"/>
        <v>00000000000000000000141237</v>
      </c>
      <c r="G70" s="453" t="b">
        <f t="shared" ca="1" si="22"/>
        <v>1</v>
      </c>
      <c r="H70" s="454">
        <f t="shared" si="23"/>
        <v>60</v>
      </c>
      <c r="I70" s="455" t="str">
        <f t="shared" ca="1" si="24"/>
        <v/>
      </c>
      <c r="J70" s="456" t="str">
        <f ca="1">IF(N(I70)&gt;0,VLOOKUP(I70,Hraci!$A$1:$I$1500,2,0),IF(TYPE(INDIRECT(ADDRESS(ROW() + $A$9-9 + (ROW()-11)*4,2,1,1,"Internet")))&gt;1,INDIRECT(ADDRESS(ROW() + $A$9-9 + (ROW()-11)*4,2,1,1,"Internet"))," "))</f>
        <v xml:space="preserve"> </v>
      </c>
      <c r="K70" s="457" t="str">
        <f ca="1">IF(N(I70)&gt;0,VLOOKUP(I70,Hraci!$A$1:$I$1500,3,0)," ")</f>
        <v xml:space="preserve"> </v>
      </c>
      <c r="L70" s="457" t="str">
        <f ca="1">IF(N(I70)&gt;0,VLOOKUP(I70,Hraci!$A$1:$I$1500,5,0),IF(TYPE(INDIRECT(ADDRESS(ROW() + $A$9-9 + (ROW()-11)*4,3,1,1,"Internet")))&gt;1,INDIRECT(ADDRESS(ROW() + $A$9-9 + (ROW()-11)*4,3,1,1,"Internet"))," "))</f>
        <v xml:space="preserve"> </v>
      </c>
      <c r="M70" s="395">
        <f ca="1">IF(N(I70)=0,9999,VLOOKUP(I70,Hraci!$A$1:$I$1500,8,0))</f>
        <v>9999</v>
      </c>
      <c r="N70" s="458">
        <f ca="1">IF(N(I70)=0,0,VLOOKUP(I70,Hraci!$A$1:$I$1500,9,0))</f>
        <v>0</v>
      </c>
      <c r="O70" s="455" t="str">
        <f t="shared" ca="1" si="25"/>
        <v/>
      </c>
      <c r="P70" s="456" t="str">
        <f ca="1">IF(N(O70)&gt;0,VLOOKUP(O70,Hraci!$A$1:$I$1500,2,0),IF(TYPE(INDIRECT(ADDRESS(ROW() + $A$9-8 + (ROW()-11)*4,2,1,1,"Internet")))&gt;1,INDIRECT(ADDRESS(ROW() + $A$9-8 + (ROW()-11)*4,2,1,1,"Internet"))," "))</f>
        <v xml:space="preserve"> </v>
      </c>
      <c r="Q70" s="457" t="str">
        <f ca="1">IF(N(O70)&gt;0,VLOOKUP(O70,Hraci!$A$1:$I$1500,3,0)," ")</f>
        <v xml:space="preserve"> </v>
      </c>
      <c r="R70" s="457" t="str">
        <f ca="1">IF(N(O70)&gt;0,VLOOKUP(O70,Hraci!$A$1:$I$1500,5,0),IF(TYPE(INDIRECT(ADDRESS(ROW() + $A$9-8 + (ROW()-11)*4,3,1,1,"Internet")))&gt;1,INDIRECT(ADDRESS(ROW() + $A$9-8 + (ROW()-11)*4,3,1,1,"Internet"))," "))</f>
        <v xml:space="preserve"> </v>
      </c>
      <c r="S70" s="395">
        <f ca="1">IF(N(O70)=0,9999,VLOOKUP(O70,Hraci!$A$1:$I$1500,8,0))</f>
        <v>9999</v>
      </c>
      <c r="T70" s="458">
        <f ca="1">IF(N(O70)=0,0,VLOOKUP(O70,Hraci!$A$1:$I$1500,9,0))</f>
        <v>0</v>
      </c>
      <c r="U70" s="455" t="str">
        <f t="shared" ca="1" si="26"/>
        <v/>
      </c>
      <c r="V70" s="456" t="str">
        <f ca="1">IF(N(U70)&gt;0,VLOOKUP(U70,Hraci!$A$1:$I$1500,2,0),IF(TYPE(INDIRECT(ADDRESS(ROW() + $A$9-7 + (ROW()-11)*4,2,1,1,"Internet")))&gt;1,INDIRECT(ADDRESS(ROW() + $A$9-7 + (ROW()-11)*4,2,1,1,"Internet"))," "))</f>
        <v xml:space="preserve"> </v>
      </c>
      <c r="W70" s="457" t="str">
        <f ca="1">IF(N(U70)&gt;0,VLOOKUP(U70,Hraci!$A$1:$I$1500,3,0)," ")</f>
        <v xml:space="preserve"> </v>
      </c>
      <c r="X70" s="457" t="str">
        <f ca="1">IF(N(U70)&gt;0,VLOOKUP(U70,Hraci!$A$1:$I$1500,5,0),IF(TYPE(INDIRECT(ADDRESS(ROW() + $A$9-7 + (ROW()-11)*4,3,1,1,"Internet")))&gt;1,INDIRECT(ADDRESS(ROW() + $A$9-7 + (ROW()-11)*4,3,1,1,"Internet"))," "))</f>
        <v xml:space="preserve"> </v>
      </c>
      <c r="Y70" s="395">
        <f ca="1">IF(N(U70)=0,9999,VLOOKUP(U70,Hraci!$A$1:$I$1500,8,0))</f>
        <v>9999</v>
      </c>
      <c r="Z70" s="458">
        <f ca="1">IF(N(U70)=0,0,VLOOKUP(U70,Hraci!$A$1:$I$1500,9,0))</f>
        <v>0</v>
      </c>
      <c r="AA70" s="455" t="str">
        <f t="shared" ca="1" si="27"/>
        <v/>
      </c>
      <c r="AB70" s="456" t="str">
        <f ca="1">IF(N(AA70)&gt;0,VLOOKUP(AA70,Hraci!$A$1:$I$1500,2,0)," ")</f>
        <v xml:space="preserve"> </v>
      </c>
      <c r="AC70" s="457" t="str">
        <f ca="1">IF(N(AA70)&gt;0,VLOOKUP(AA70,Hraci!$A$1:$I$1500,3,0)," ")</f>
        <v xml:space="preserve"> </v>
      </c>
      <c r="AD70" s="457" t="str">
        <f ca="1">IF(N(AA70)&gt;0,VLOOKUP(AA70,Hraci!$A$1:$I$1500,5,0)," ")</f>
        <v xml:space="preserve"> </v>
      </c>
      <c r="AE70" s="395">
        <f ca="1">IF(N(AA70)=0,9999,VLOOKUP(AA70,Hraci!$A$1:$I$1500,8,0))</f>
        <v>9999</v>
      </c>
      <c r="AF70" s="458">
        <f ca="1">IF(N(AA70)=0,0,VLOOKUP(AA70,Hraci!$A$1:$I$1500,9,0))</f>
        <v>0</v>
      </c>
      <c r="AG70" s="459"/>
      <c r="AH70" s="465">
        <f ca="1">IF(TYPE(VLOOKUP(H70,Nasazení!$A$3:$E$130,5,0))&lt;4,VLOOKUP(H70,Nasazení!$A$3:$E$130,5,0),0)</f>
        <v>0</v>
      </c>
      <c r="AI70" s="460" t="str">
        <f ca="1">IF(N($AH70)&gt;0,VLOOKUP($AH70,Body!$A$4:$F$259,5,0),"")</f>
        <v/>
      </c>
      <c r="AJ70" s="461" t="str">
        <f ca="1">IF(N($AH70)&gt;0,VLOOKUP($AH70,Body!$A$4:$F$259,6,0),"")</f>
        <v/>
      </c>
      <c r="AK70" s="460" t="str">
        <f ca="1">IF(N($AH70)&gt;0,VLOOKUP($AH70,Body!$A$4:$F$259,2,0),"")</f>
        <v/>
      </c>
      <c r="AL70" s="462" t="str">
        <f t="shared" ca="1" si="28"/>
        <v/>
      </c>
      <c r="AM70" s="463">
        <f t="shared" ca="1" si="29"/>
        <v>0</v>
      </c>
      <c r="AN70" s="395">
        <f ca="1">IF(OR(TYPE(I70)&gt;1,TYPE(MATCH(I70,I71:I$139,0))&gt;1),0,MATCH(I70,I71:I$139,0))+IF(OR(TYPE(I70)&gt;1,TYPE(MATCH(I70,O$11:O$139,0))&gt;1),0,MATCH(I70,O$11:O$139,0))+IF(OR(TYPE(I70)&gt;1,TYPE(MATCH(I70,U$11:U$139,0))&gt;1),0,MATCH(I70,U$11:U$139,0))+IF(OR(TYPE(I70)&gt;1,TYPE(MATCH(I70,AA$11:AA$139,0))&gt;1),0,MATCH(I70,AA$11:AA$139,0))</f>
        <v>0</v>
      </c>
      <c r="AO70" s="395">
        <f ca="1">IF(OR(TYPE(O70)&gt;1,TYPE(MATCH(O70,I$11:I$139,0))&gt;1),0,MATCH(O70,I$11:I$139,0))+IF(OR(TYPE(O70)&gt;1,TYPE(MATCH(O70,O71:O$139,0))&gt;1),0,MATCH(O70,O71:O$139,0))+IF(OR(TYPE(O70)&gt;1,TYPE(MATCH(O70,U$11:U$139,0))&gt;1),0,MATCH(O70,U$11:U$139,0))+IF(OR(TYPE(O70)&gt;1,TYPE(MATCH(O70,AA$11:AA$139,0))&gt;1),0,MATCH(O70,AA$11:AA$139,0))</f>
        <v>0</v>
      </c>
      <c r="AP70" s="395">
        <f ca="1">IF(OR(TYPE(U70)&gt;1,TYPE(MATCH(U70,I$11:I$139,0))&gt;1),0,MATCH(U70,I$11:I$139,0))+IF(OR(TYPE(U70)&gt;1,TYPE(MATCH(U70,O$11:O$139,0))&gt;1),0,MATCH(U70,O$11:O$139,0))+IF(OR(TYPE(U70)&gt;1,TYPE(MATCH(U70,U71:U$139,0))&gt;1),0,MATCH(U70,U71:U$139,0))+IF(OR(TYPE(U70)&gt;1,TYPE(MATCH(U70,AA$11:AA$139,0))&gt;1),0,MATCH(U70,AA$11:AA$139,0))</f>
        <v>0</v>
      </c>
      <c r="AQ70" s="395">
        <f ca="1">IF(OR(TYPE(AA70)&gt;1,TYPE(MATCH(AA70,I$11:I$139,0))&gt;1),0,MATCH(AA70,I$11:I$139,0))+IF(OR(TYPE(AA70)&gt;1,TYPE(MATCH(AA70,O$11:O$139,0))&gt;1),0,MATCH(AA70,O$11:O$139,0))+IF(OR(TYPE(AA70)&gt;1,TYPE(MATCH(AA70,U$11:U$139,0))&gt;1),0,MATCH(U70,U$11:U$139,0))+IF(OR(TYPE(AA70)&gt;1,TYPE(MATCH(AA70,AA71:AA$139,0))&gt;1),0,MATCH(AA70,AA71:AA$139,0))</f>
        <v>0</v>
      </c>
      <c r="AR70" s="395">
        <f t="shared" ca="1" si="14"/>
        <v>0</v>
      </c>
      <c r="BF70" s="395">
        <f t="shared" si="15"/>
        <v>60</v>
      </c>
    </row>
    <row r="71" spans="1:58" ht="12.9">
      <c r="A71" s="387">
        <f t="shared" ca="1" si="16"/>
        <v>0</v>
      </c>
      <c r="B71" s="387">
        <f t="shared" ca="1" si="17"/>
        <v>0</v>
      </c>
      <c r="C71" s="387">
        <f t="shared" ca="1" si="18"/>
        <v>0</v>
      </c>
      <c r="D71" s="387">
        <f t="shared" ca="1" si="19"/>
        <v>99999</v>
      </c>
      <c r="E71" s="387">
        <f t="shared" ca="1" si="20"/>
        <v>9999</v>
      </c>
      <c r="F71" s="417" t="str">
        <f t="shared" ca="1" si="21"/>
        <v>00000000000000000000310368</v>
      </c>
      <c r="G71" s="453" t="b">
        <f t="shared" ca="1" si="22"/>
        <v>1</v>
      </c>
      <c r="H71" s="454">
        <f t="shared" si="23"/>
        <v>61</v>
      </c>
      <c r="I71" s="455" t="str">
        <f t="shared" ca="1" si="24"/>
        <v/>
      </c>
      <c r="J71" s="456" t="str">
        <f ca="1">IF(N(I71)&gt;0,VLOOKUP(I71,Hraci!$A$1:$I$1500,2,0),IF(TYPE(INDIRECT(ADDRESS(ROW() + $A$9-9 + (ROW()-11)*4,2,1,1,"Internet")))&gt;1,INDIRECT(ADDRESS(ROW() + $A$9-9 + (ROW()-11)*4,2,1,1,"Internet"))," "))</f>
        <v xml:space="preserve"> </v>
      </c>
      <c r="K71" s="457" t="str">
        <f ca="1">IF(N(I71)&gt;0,VLOOKUP(I71,Hraci!$A$1:$I$1500,3,0)," ")</f>
        <v xml:space="preserve"> </v>
      </c>
      <c r="L71" s="457" t="str">
        <f ca="1">IF(N(I71)&gt;0,VLOOKUP(I71,Hraci!$A$1:$I$1500,5,0),IF(TYPE(INDIRECT(ADDRESS(ROW() + $A$9-9 + (ROW()-11)*4,3,1,1,"Internet")))&gt;1,INDIRECT(ADDRESS(ROW() + $A$9-9 + (ROW()-11)*4,3,1,1,"Internet"))," "))</f>
        <v xml:space="preserve"> </v>
      </c>
      <c r="M71" s="395">
        <f ca="1">IF(N(I71)=0,9999,VLOOKUP(I71,Hraci!$A$1:$I$1500,8,0))</f>
        <v>9999</v>
      </c>
      <c r="N71" s="458">
        <f ca="1">IF(N(I71)=0,0,VLOOKUP(I71,Hraci!$A$1:$I$1500,9,0))</f>
        <v>0</v>
      </c>
      <c r="O71" s="455" t="str">
        <f t="shared" ca="1" si="25"/>
        <v/>
      </c>
      <c r="P71" s="456" t="str">
        <f ca="1">IF(N(O71)&gt;0,VLOOKUP(O71,Hraci!$A$1:$I$1500,2,0),IF(TYPE(INDIRECT(ADDRESS(ROW() + $A$9-8 + (ROW()-11)*4,2,1,1,"Internet")))&gt;1,INDIRECT(ADDRESS(ROW() + $A$9-8 + (ROW()-11)*4,2,1,1,"Internet"))," "))</f>
        <v xml:space="preserve"> </v>
      </c>
      <c r="Q71" s="457" t="str">
        <f ca="1">IF(N(O71)&gt;0,VLOOKUP(O71,Hraci!$A$1:$I$1500,3,0)," ")</f>
        <v xml:space="preserve"> </v>
      </c>
      <c r="R71" s="457" t="str">
        <f ca="1">IF(N(O71)&gt;0,VLOOKUP(O71,Hraci!$A$1:$I$1500,5,0),IF(TYPE(INDIRECT(ADDRESS(ROW() + $A$9-8 + (ROW()-11)*4,3,1,1,"Internet")))&gt;1,INDIRECT(ADDRESS(ROW() + $A$9-8 + (ROW()-11)*4,3,1,1,"Internet"))," "))</f>
        <v xml:space="preserve"> </v>
      </c>
      <c r="S71" s="395">
        <f ca="1">IF(N(O71)=0,9999,VLOOKUP(O71,Hraci!$A$1:$I$1500,8,0))</f>
        <v>9999</v>
      </c>
      <c r="T71" s="458">
        <f ca="1">IF(N(O71)=0,0,VLOOKUP(O71,Hraci!$A$1:$I$1500,9,0))</f>
        <v>0</v>
      </c>
      <c r="U71" s="455" t="str">
        <f t="shared" ca="1" si="26"/>
        <v/>
      </c>
      <c r="V71" s="456" t="str">
        <f ca="1">IF(N(U71)&gt;0,VLOOKUP(U71,Hraci!$A$1:$I$1500,2,0),IF(TYPE(INDIRECT(ADDRESS(ROW() + $A$9-7 + (ROW()-11)*4,2,1,1,"Internet")))&gt;1,INDIRECT(ADDRESS(ROW() + $A$9-7 + (ROW()-11)*4,2,1,1,"Internet"))," "))</f>
        <v xml:space="preserve"> </v>
      </c>
      <c r="W71" s="457" t="str">
        <f ca="1">IF(N(U71)&gt;0,VLOOKUP(U71,Hraci!$A$1:$I$1500,3,0)," ")</f>
        <v xml:space="preserve"> </v>
      </c>
      <c r="X71" s="457" t="str">
        <f ca="1">IF(N(U71)&gt;0,VLOOKUP(U71,Hraci!$A$1:$I$1500,5,0),IF(TYPE(INDIRECT(ADDRESS(ROW() + $A$9-7 + (ROW()-11)*4,3,1,1,"Internet")))&gt;1,INDIRECT(ADDRESS(ROW() + $A$9-7 + (ROW()-11)*4,3,1,1,"Internet"))," "))</f>
        <v xml:space="preserve"> </v>
      </c>
      <c r="Y71" s="395">
        <f ca="1">IF(N(U71)=0,9999,VLOOKUP(U71,Hraci!$A$1:$I$1500,8,0))</f>
        <v>9999</v>
      </c>
      <c r="Z71" s="458">
        <f ca="1">IF(N(U71)=0,0,VLOOKUP(U71,Hraci!$A$1:$I$1500,9,0))</f>
        <v>0</v>
      </c>
      <c r="AA71" s="455" t="str">
        <f t="shared" ca="1" si="27"/>
        <v/>
      </c>
      <c r="AB71" s="456" t="str">
        <f ca="1">IF(N(AA71)&gt;0,VLOOKUP(AA71,Hraci!$A$1:$I$1500,2,0)," ")</f>
        <v xml:space="preserve"> </v>
      </c>
      <c r="AC71" s="457" t="str">
        <f ca="1">IF(N(AA71)&gt;0,VLOOKUP(AA71,Hraci!$A$1:$I$1500,3,0)," ")</f>
        <v xml:space="preserve"> </v>
      </c>
      <c r="AD71" s="457" t="str">
        <f ca="1">IF(N(AA71)&gt;0,VLOOKUP(AA71,Hraci!$A$1:$I$1500,5,0)," ")</f>
        <v xml:space="preserve"> </v>
      </c>
      <c r="AE71" s="395">
        <f ca="1">IF(N(AA71)=0,9999,VLOOKUP(AA71,Hraci!$A$1:$I$1500,8,0))</f>
        <v>9999</v>
      </c>
      <c r="AF71" s="458">
        <f ca="1">IF(N(AA71)=0,0,VLOOKUP(AA71,Hraci!$A$1:$I$1500,9,0))</f>
        <v>0</v>
      </c>
      <c r="AG71" s="459"/>
      <c r="AH71" s="465">
        <f ca="1">IF(TYPE(VLOOKUP(H71,Nasazení!$A$3:$E$130,5,0))&lt;4,VLOOKUP(H71,Nasazení!$A$3:$E$130,5,0),0)</f>
        <v>0</v>
      </c>
      <c r="AI71" s="460" t="str">
        <f ca="1">IF(N($AH71)&gt;0,VLOOKUP($AH71,Body!$A$4:$F$259,5,0),"")</f>
        <v/>
      </c>
      <c r="AJ71" s="461" t="str">
        <f ca="1">IF(N($AH71)&gt;0,VLOOKUP($AH71,Body!$A$4:$F$259,6,0),"")</f>
        <v/>
      </c>
      <c r="AK71" s="460" t="str">
        <f ca="1">IF(N($AH71)&gt;0,VLOOKUP($AH71,Body!$A$4:$F$259,2,0),"")</f>
        <v/>
      </c>
      <c r="AL71" s="462" t="str">
        <f t="shared" ca="1" si="28"/>
        <v/>
      </c>
      <c r="AM71" s="463">
        <f t="shared" ca="1" si="29"/>
        <v>0</v>
      </c>
      <c r="AN71" s="395">
        <f ca="1">IF(OR(TYPE(I71)&gt;1,TYPE(MATCH(I71,I72:I$139,0))&gt;1),0,MATCH(I71,I72:I$139,0))+IF(OR(TYPE(I71)&gt;1,TYPE(MATCH(I71,O$11:O$139,0))&gt;1),0,MATCH(I71,O$11:O$139,0))+IF(OR(TYPE(I71)&gt;1,TYPE(MATCH(I71,U$11:U$139,0))&gt;1),0,MATCH(I71,U$11:U$139,0))+IF(OR(TYPE(I71)&gt;1,TYPE(MATCH(I71,AA$11:AA$139,0))&gt;1),0,MATCH(I71,AA$11:AA$139,0))</f>
        <v>0</v>
      </c>
      <c r="AO71" s="395">
        <f ca="1">IF(OR(TYPE(O71)&gt;1,TYPE(MATCH(O71,I$11:I$139,0))&gt;1),0,MATCH(O71,I$11:I$139,0))+IF(OR(TYPE(O71)&gt;1,TYPE(MATCH(O71,O72:O$139,0))&gt;1),0,MATCH(O71,O72:O$139,0))+IF(OR(TYPE(O71)&gt;1,TYPE(MATCH(O71,U$11:U$139,0))&gt;1),0,MATCH(O71,U$11:U$139,0))+IF(OR(TYPE(O71)&gt;1,TYPE(MATCH(O71,AA$11:AA$139,0))&gt;1),0,MATCH(O71,AA$11:AA$139,0))</f>
        <v>0</v>
      </c>
      <c r="AP71" s="395">
        <f ca="1">IF(OR(TYPE(U71)&gt;1,TYPE(MATCH(U71,I$11:I$139,0))&gt;1),0,MATCH(U71,I$11:I$139,0))+IF(OR(TYPE(U71)&gt;1,TYPE(MATCH(U71,O$11:O$139,0))&gt;1),0,MATCH(U71,O$11:O$139,0))+IF(OR(TYPE(U71)&gt;1,TYPE(MATCH(U71,U72:U$139,0))&gt;1),0,MATCH(U71,U72:U$139,0))+IF(OR(TYPE(U71)&gt;1,TYPE(MATCH(U71,AA$11:AA$139,0))&gt;1),0,MATCH(U71,AA$11:AA$139,0))</f>
        <v>0</v>
      </c>
      <c r="AQ71" s="395">
        <f ca="1">IF(OR(TYPE(AA71)&gt;1,TYPE(MATCH(AA71,I$11:I$139,0))&gt;1),0,MATCH(AA71,I$11:I$139,0))+IF(OR(TYPE(AA71)&gt;1,TYPE(MATCH(AA71,O$11:O$139,0))&gt;1),0,MATCH(AA71,O$11:O$139,0))+IF(OR(TYPE(AA71)&gt;1,TYPE(MATCH(AA71,U$11:U$139,0))&gt;1),0,MATCH(U71,U$11:U$139,0))+IF(OR(TYPE(AA71)&gt;1,TYPE(MATCH(AA71,AA72:AA$139,0))&gt;1),0,MATCH(AA71,AA72:AA$139,0))</f>
        <v>0</v>
      </c>
      <c r="AR71" s="395">
        <f t="shared" ca="1" si="14"/>
        <v>0</v>
      </c>
      <c r="BF71" s="395">
        <f t="shared" si="15"/>
        <v>61</v>
      </c>
    </row>
    <row r="72" spans="1:58" ht="12.9">
      <c r="A72" s="387">
        <f t="shared" ca="1" si="16"/>
        <v>0</v>
      </c>
      <c r="B72" s="387">
        <f t="shared" ca="1" si="17"/>
        <v>0</v>
      </c>
      <c r="C72" s="387">
        <f t="shared" ca="1" si="18"/>
        <v>0</v>
      </c>
      <c r="D72" s="387">
        <f t="shared" ca="1" si="19"/>
        <v>99999</v>
      </c>
      <c r="E72" s="387">
        <f t="shared" ca="1" si="20"/>
        <v>9999</v>
      </c>
      <c r="F72" s="417" t="str">
        <f t="shared" ca="1" si="21"/>
        <v>00000000000000000000731934</v>
      </c>
      <c r="G72" s="453" t="b">
        <f t="shared" ca="1" si="22"/>
        <v>1</v>
      </c>
      <c r="H72" s="454">
        <f t="shared" si="23"/>
        <v>62</v>
      </c>
      <c r="I72" s="455" t="str">
        <f t="shared" ca="1" si="24"/>
        <v/>
      </c>
      <c r="J72" s="456" t="str">
        <f ca="1">IF(N(I72)&gt;0,VLOOKUP(I72,Hraci!$A$1:$I$1500,2,0),IF(TYPE(INDIRECT(ADDRESS(ROW() + $A$9-9 + (ROW()-11)*4,2,1,1,"Internet")))&gt;1,INDIRECT(ADDRESS(ROW() + $A$9-9 + (ROW()-11)*4,2,1,1,"Internet"))," "))</f>
        <v xml:space="preserve"> </v>
      </c>
      <c r="K72" s="457" t="str">
        <f ca="1">IF(N(I72)&gt;0,VLOOKUP(I72,Hraci!$A$1:$I$1500,3,0)," ")</f>
        <v xml:space="preserve"> </v>
      </c>
      <c r="L72" s="457" t="str">
        <f ca="1">IF(N(I72)&gt;0,VLOOKUP(I72,Hraci!$A$1:$I$1500,5,0),IF(TYPE(INDIRECT(ADDRESS(ROW() + $A$9-9 + (ROW()-11)*4,3,1,1,"Internet")))&gt;1,INDIRECT(ADDRESS(ROW() + $A$9-9 + (ROW()-11)*4,3,1,1,"Internet"))," "))</f>
        <v xml:space="preserve"> </v>
      </c>
      <c r="M72" s="395">
        <f ca="1">IF(N(I72)=0,9999,VLOOKUP(I72,Hraci!$A$1:$I$1500,8,0))</f>
        <v>9999</v>
      </c>
      <c r="N72" s="458">
        <f ca="1">IF(N(I72)=0,0,VLOOKUP(I72,Hraci!$A$1:$I$1500,9,0))</f>
        <v>0</v>
      </c>
      <c r="O72" s="455" t="str">
        <f t="shared" ca="1" si="25"/>
        <v/>
      </c>
      <c r="P72" s="456" t="str">
        <f ca="1">IF(N(O72)&gt;0,VLOOKUP(O72,Hraci!$A$1:$I$1500,2,0),IF(TYPE(INDIRECT(ADDRESS(ROW() + $A$9-8 + (ROW()-11)*4,2,1,1,"Internet")))&gt;1,INDIRECT(ADDRESS(ROW() + $A$9-8 + (ROW()-11)*4,2,1,1,"Internet"))," "))</f>
        <v xml:space="preserve"> </v>
      </c>
      <c r="Q72" s="457" t="str">
        <f ca="1">IF(N(O72)&gt;0,VLOOKUP(O72,Hraci!$A$1:$I$1500,3,0)," ")</f>
        <v xml:space="preserve"> </v>
      </c>
      <c r="R72" s="457" t="str">
        <f ca="1">IF(N(O72)&gt;0,VLOOKUP(O72,Hraci!$A$1:$I$1500,5,0),IF(TYPE(INDIRECT(ADDRESS(ROW() + $A$9-8 + (ROW()-11)*4,3,1,1,"Internet")))&gt;1,INDIRECT(ADDRESS(ROW() + $A$9-8 + (ROW()-11)*4,3,1,1,"Internet"))," "))</f>
        <v xml:space="preserve"> </v>
      </c>
      <c r="S72" s="395">
        <f ca="1">IF(N(O72)=0,9999,VLOOKUP(O72,Hraci!$A$1:$I$1500,8,0))</f>
        <v>9999</v>
      </c>
      <c r="T72" s="458">
        <f ca="1">IF(N(O72)=0,0,VLOOKUP(O72,Hraci!$A$1:$I$1500,9,0))</f>
        <v>0</v>
      </c>
      <c r="U72" s="455" t="str">
        <f t="shared" ca="1" si="26"/>
        <v/>
      </c>
      <c r="V72" s="456" t="str">
        <f ca="1">IF(N(U72)&gt;0,VLOOKUP(U72,Hraci!$A$1:$I$1500,2,0),IF(TYPE(INDIRECT(ADDRESS(ROW() + $A$9-7 + (ROW()-11)*4,2,1,1,"Internet")))&gt;1,INDIRECT(ADDRESS(ROW() + $A$9-7 + (ROW()-11)*4,2,1,1,"Internet"))," "))</f>
        <v xml:space="preserve"> </v>
      </c>
      <c r="W72" s="457" t="str">
        <f ca="1">IF(N(U72)&gt;0,VLOOKUP(U72,Hraci!$A$1:$I$1500,3,0)," ")</f>
        <v xml:space="preserve"> </v>
      </c>
      <c r="X72" s="457" t="str">
        <f ca="1">IF(N(U72)&gt;0,VLOOKUP(U72,Hraci!$A$1:$I$1500,5,0),IF(TYPE(INDIRECT(ADDRESS(ROW() + $A$9-7 + (ROW()-11)*4,3,1,1,"Internet")))&gt;1,INDIRECT(ADDRESS(ROW() + $A$9-7 + (ROW()-11)*4,3,1,1,"Internet"))," "))</f>
        <v xml:space="preserve"> </v>
      </c>
      <c r="Y72" s="395">
        <f ca="1">IF(N(U72)=0,9999,VLOOKUP(U72,Hraci!$A$1:$I$1500,8,0))</f>
        <v>9999</v>
      </c>
      <c r="Z72" s="458">
        <f ca="1">IF(N(U72)=0,0,VLOOKUP(U72,Hraci!$A$1:$I$1500,9,0))</f>
        <v>0</v>
      </c>
      <c r="AA72" s="455" t="str">
        <f t="shared" ca="1" si="27"/>
        <v/>
      </c>
      <c r="AB72" s="456" t="str">
        <f ca="1">IF(N(AA72)&gt;0,VLOOKUP(AA72,Hraci!$A$1:$I$1500,2,0)," ")</f>
        <v xml:space="preserve"> </v>
      </c>
      <c r="AC72" s="457" t="str">
        <f ca="1">IF(N(AA72)&gt;0,VLOOKUP(AA72,Hraci!$A$1:$I$1500,3,0)," ")</f>
        <v xml:space="preserve"> </v>
      </c>
      <c r="AD72" s="457" t="str">
        <f ca="1">IF(N(AA72)&gt;0,VLOOKUP(AA72,Hraci!$A$1:$I$1500,5,0)," ")</f>
        <v xml:space="preserve"> </v>
      </c>
      <c r="AE72" s="395">
        <f ca="1">IF(N(AA72)=0,9999,VLOOKUP(AA72,Hraci!$A$1:$I$1500,8,0))</f>
        <v>9999</v>
      </c>
      <c r="AF72" s="458">
        <f ca="1">IF(N(AA72)=0,0,VLOOKUP(AA72,Hraci!$A$1:$I$1500,9,0))</f>
        <v>0</v>
      </c>
      <c r="AG72" s="459"/>
      <c r="AH72" s="465">
        <f ca="1">IF(TYPE(VLOOKUP(H72,Nasazení!$A$3:$E$130,5,0))&lt;4,VLOOKUP(H72,Nasazení!$A$3:$E$130,5,0),0)</f>
        <v>0</v>
      </c>
      <c r="AI72" s="460" t="str">
        <f ca="1">IF(N($AH72)&gt;0,VLOOKUP($AH72,Body!$A$4:$F$259,5,0),"")</f>
        <v/>
      </c>
      <c r="AJ72" s="461" t="str">
        <f ca="1">IF(N($AH72)&gt;0,VLOOKUP($AH72,Body!$A$4:$F$259,6,0),"")</f>
        <v/>
      </c>
      <c r="AK72" s="460" t="str">
        <f ca="1">IF(N($AH72)&gt;0,VLOOKUP($AH72,Body!$A$4:$F$259,2,0),"")</f>
        <v/>
      </c>
      <c r="AL72" s="462" t="str">
        <f t="shared" ca="1" si="28"/>
        <v/>
      </c>
      <c r="AM72" s="463">
        <f t="shared" ca="1" si="29"/>
        <v>0</v>
      </c>
      <c r="AN72" s="395">
        <f ca="1">IF(OR(TYPE(I72)&gt;1,TYPE(MATCH(I72,I73:I$139,0))&gt;1),0,MATCH(I72,I73:I$139,0))+IF(OR(TYPE(I72)&gt;1,TYPE(MATCH(I72,O$11:O$139,0))&gt;1),0,MATCH(I72,O$11:O$139,0))+IF(OR(TYPE(I72)&gt;1,TYPE(MATCH(I72,U$11:U$139,0))&gt;1),0,MATCH(I72,U$11:U$139,0))+IF(OR(TYPE(I72)&gt;1,TYPE(MATCH(I72,AA$11:AA$139,0))&gt;1),0,MATCH(I72,AA$11:AA$139,0))</f>
        <v>0</v>
      </c>
      <c r="AO72" s="395">
        <f ca="1">IF(OR(TYPE(O72)&gt;1,TYPE(MATCH(O72,I$11:I$139,0))&gt;1),0,MATCH(O72,I$11:I$139,0))+IF(OR(TYPE(O72)&gt;1,TYPE(MATCH(O72,O73:O$139,0))&gt;1),0,MATCH(O72,O73:O$139,0))+IF(OR(TYPE(O72)&gt;1,TYPE(MATCH(O72,U$11:U$139,0))&gt;1),0,MATCH(O72,U$11:U$139,0))+IF(OR(TYPE(O72)&gt;1,TYPE(MATCH(O72,AA$11:AA$139,0))&gt;1),0,MATCH(O72,AA$11:AA$139,0))</f>
        <v>0</v>
      </c>
      <c r="AP72" s="395">
        <f ca="1">IF(OR(TYPE(U72)&gt;1,TYPE(MATCH(U72,I$11:I$139,0))&gt;1),0,MATCH(U72,I$11:I$139,0))+IF(OR(TYPE(U72)&gt;1,TYPE(MATCH(U72,O$11:O$139,0))&gt;1),0,MATCH(U72,O$11:O$139,0))+IF(OR(TYPE(U72)&gt;1,TYPE(MATCH(U72,U73:U$139,0))&gt;1),0,MATCH(U72,U73:U$139,0))+IF(OR(TYPE(U72)&gt;1,TYPE(MATCH(U72,AA$11:AA$139,0))&gt;1),0,MATCH(U72,AA$11:AA$139,0))</f>
        <v>0</v>
      </c>
      <c r="AQ72" s="395">
        <f ca="1">IF(OR(TYPE(AA72)&gt;1,TYPE(MATCH(AA72,I$11:I$139,0))&gt;1),0,MATCH(AA72,I$11:I$139,0))+IF(OR(TYPE(AA72)&gt;1,TYPE(MATCH(AA72,O$11:O$139,0))&gt;1),0,MATCH(AA72,O$11:O$139,0))+IF(OR(TYPE(AA72)&gt;1,TYPE(MATCH(AA72,U$11:U$139,0))&gt;1),0,MATCH(U72,U$11:U$139,0))+IF(OR(TYPE(AA72)&gt;1,TYPE(MATCH(AA72,AA73:AA$139,0))&gt;1),0,MATCH(AA72,AA73:AA$139,0))</f>
        <v>0</v>
      </c>
      <c r="AR72" s="395">
        <f t="shared" ca="1" si="14"/>
        <v>0</v>
      </c>
      <c r="BF72" s="395">
        <f t="shared" si="15"/>
        <v>62</v>
      </c>
    </row>
    <row r="73" spans="1:58" ht="12.9">
      <c r="A73" s="387">
        <f t="shared" ca="1" si="16"/>
        <v>0</v>
      </c>
      <c r="B73" s="387">
        <f t="shared" ca="1" si="17"/>
        <v>0</v>
      </c>
      <c r="C73" s="387">
        <f t="shared" ca="1" si="18"/>
        <v>0</v>
      </c>
      <c r="D73" s="387">
        <f t="shared" ca="1" si="19"/>
        <v>99999</v>
      </c>
      <c r="E73" s="387">
        <f t="shared" ca="1" si="20"/>
        <v>9999</v>
      </c>
      <c r="F73" s="417" t="str">
        <f t="shared" ca="1" si="21"/>
        <v>00000000000000000000378181</v>
      </c>
      <c r="G73" s="453" t="b">
        <f t="shared" ca="1" si="22"/>
        <v>1</v>
      </c>
      <c r="H73" s="454">
        <f t="shared" si="23"/>
        <v>63</v>
      </c>
      <c r="I73" s="455" t="str">
        <f t="shared" ca="1" si="24"/>
        <v/>
      </c>
      <c r="J73" s="456" t="str">
        <f ca="1">IF(N(I73)&gt;0,VLOOKUP(I73,Hraci!$A$1:$I$1500,2,0),IF(TYPE(INDIRECT(ADDRESS(ROW() + $A$9-9 + (ROW()-11)*4,2,1,1,"Internet")))&gt;1,INDIRECT(ADDRESS(ROW() + $A$9-9 + (ROW()-11)*4,2,1,1,"Internet"))," "))</f>
        <v xml:space="preserve"> </v>
      </c>
      <c r="K73" s="457" t="str">
        <f ca="1">IF(N(I73)&gt;0,VLOOKUP(I73,Hraci!$A$1:$I$1500,3,0)," ")</f>
        <v xml:space="preserve"> </v>
      </c>
      <c r="L73" s="457" t="str">
        <f ca="1">IF(N(I73)&gt;0,VLOOKUP(I73,Hraci!$A$1:$I$1500,5,0),IF(TYPE(INDIRECT(ADDRESS(ROW() + $A$9-9 + (ROW()-11)*4,3,1,1,"Internet")))&gt;1,INDIRECT(ADDRESS(ROW() + $A$9-9 + (ROW()-11)*4,3,1,1,"Internet"))," "))</f>
        <v xml:space="preserve"> </v>
      </c>
      <c r="M73" s="395">
        <f ca="1">IF(N(I73)=0,9999,VLOOKUP(I73,Hraci!$A$1:$I$1500,8,0))</f>
        <v>9999</v>
      </c>
      <c r="N73" s="458">
        <f ca="1">IF(N(I73)=0,0,VLOOKUP(I73,Hraci!$A$1:$I$1500,9,0))</f>
        <v>0</v>
      </c>
      <c r="O73" s="455" t="str">
        <f t="shared" ca="1" si="25"/>
        <v/>
      </c>
      <c r="P73" s="456" t="str">
        <f ca="1">IF(N(O73)&gt;0,VLOOKUP(O73,Hraci!$A$1:$I$1500,2,0),IF(TYPE(INDIRECT(ADDRESS(ROW() + $A$9-8 + (ROW()-11)*4,2,1,1,"Internet")))&gt;1,INDIRECT(ADDRESS(ROW() + $A$9-8 + (ROW()-11)*4,2,1,1,"Internet"))," "))</f>
        <v xml:space="preserve"> </v>
      </c>
      <c r="Q73" s="457" t="str">
        <f ca="1">IF(N(O73)&gt;0,VLOOKUP(O73,Hraci!$A$1:$I$1500,3,0)," ")</f>
        <v xml:space="preserve"> </v>
      </c>
      <c r="R73" s="457" t="str">
        <f ca="1">IF(N(O73)&gt;0,VLOOKUP(O73,Hraci!$A$1:$I$1500,5,0),IF(TYPE(INDIRECT(ADDRESS(ROW() + $A$9-8 + (ROW()-11)*4,3,1,1,"Internet")))&gt;1,INDIRECT(ADDRESS(ROW() + $A$9-8 + (ROW()-11)*4,3,1,1,"Internet"))," "))</f>
        <v xml:space="preserve"> </v>
      </c>
      <c r="S73" s="395">
        <f ca="1">IF(N(O73)=0,9999,VLOOKUP(O73,Hraci!$A$1:$I$1500,8,0))</f>
        <v>9999</v>
      </c>
      <c r="T73" s="458">
        <f ca="1">IF(N(O73)=0,0,VLOOKUP(O73,Hraci!$A$1:$I$1500,9,0))</f>
        <v>0</v>
      </c>
      <c r="U73" s="455" t="str">
        <f t="shared" ca="1" si="26"/>
        <v/>
      </c>
      <c r="V73" s="456" t="str">
        <f ca="1">IF(N(U73)&gt;0,VLOOKUP(U73,Hraci!$A$1:$I$1500,2,0),IF(TYPE(INDIRECT(ADDRESS(ROW() + $A$9-7 + (ROW()-11)*4,2,1,1,"Internet")))&gt;1,INDIRECT(ADDRESS(ROW() + $A$9-7 + (ROW()-11)*4,2,1,1,"Internet"))," "))</f>
        <v xml:space="preserve"> </v>
      </c>
      <c r="W73" s="457" t="str">
        <f ca="1">IF(N(U73)&gt;0,VLOOKUP(U73,Hraci!$A$1:$I$1500,3,0)," ")</f>
        <v xml:space="preserve"> </v>
      </c>
      <c r="X73" s="457" t="str">
        <f ca="1">IF(N(U73)&gt;0,VLOOKUP(U73,Hraci!$A$1:$I$1500,5,0),IF(TYPE(INDIRECT(ADDRESS(ROW() + $A$9-7 + (ROW()-11)*4,3,1,1,"Internet")))&gt;1,INDIRECT(ADDRESS(ROW() + $A$9-7 + (ROW()-11)*4,3,1,1,"Internet"))," "))</f>
        <v xml:space="preserve"> </v>
      </c>
      <c r="Y73" s="395">
        <f ca="1">IF(N(U73)=0,9999,VLOOKUP(U73,Hraci!$A$1:$I$1500,8,0))</f>
        <v>9999</v>
      </c>
      <c r="Z73" s="458">
        <f ca="1">IF(N(U73)=0,0,VLOOKUP(U73,Hraci!$A$1:$I$1500,9,0))</f>
        <v>0</v>
      </c>
      <c r="AA73" s="455" t="str">
        <f t="shared" ca="1" si="27"/>
        <v/>
      </c>
      <c r="AB73" s="456" t="str">
        <f ca="1">IF(N(AA73)&gt;0,VLOOKUP(AA73,Hraci!$A$1:$I$1500,2,0)," ")</f>
        <v xml:space="preserve"> </v>
      </c>
      <c r="AC73" s="457" t="str">
        <f ca="1">IF(N(AA73)&gt;0,VLOOKUP(AA73,Hraci!$A$1:$I$1500,3,0)," ")</f>
        <v xml:space="preserve"> </v>
      </c>
      <c r="AD73" s="457" t="str">
        <f ca="1">IF(N(AA73)&gt;0,VLOOKUP(AA73,Hraci!$A$1:$I$1500,5,0)," ")</f>
        <v xml:space="preserve"> </v>
      </c>
      <c r="AE73" s="395">
        <f ca="1">IF(N(AA73)=0,9999,VLOOKUP(AA73,Hraci!$A$1:$I$1500,8,0))</f>
        <v>9999</v>
      </c>
      <c r="AF73" s="458">
        <f ca="1">IF(N(AA73)=0,0,VLOOKUP(AA73,Hraci!$A$1:$I$1500,9,0))</f>
        <v>0</v>
      </c>
      <c r="AG73" s="459"/>
      <c r="AH73" s="465">
        <f ca="1">IF(TYPE(VLOOKUP(H73,Nasazení!$A$3:$E$130,5,0))&lt;4,VLOOKUP(H73,Nasazení!$A$3:$E$130,5,0),0)</f>
        <v>0</v>
      </c>
      <c r="AI73" s="460" t="str">
        <f ca="1">IF(N($AH73)&gt;0,VLOOKUP($AH73,Body!$A$4:$F$259,5,0),"")</f>
        <v/>
      </c>
      <c r="AJ73" s="461" t="str">
        <f ca="1">IF(N($AH73)&gt;0,VLOOKUP($AH73,Body!$A$4:$F$259,6,0),"")</f>
        <v/>
      </c>
      <c r="AK73" s="460" t="str">
        <f ca="1">IF(N($AH73)&gt;0,VLOOKUP($AH73,Body!$A$4:$F$259,2,0),"")</f>
        <v/>
      </c>
      <c r="AL73" s="462" t="str">
        <f t="shared" ca="1" si="28"/>
        <v/>
      </c>
      <c r="AM73" s="463">
        <f t="shared" ca="1" si="29"/>
        <v>0</v>
      </c>
      <c r="AN73" s="395">
        <f ca="1">IF(OR(TYPE(I73)&gt;1,TYPE(MATCH(I73,I74:I$139,0))&gt;1),0,MATCH(I73,I74:I$139,0))+IF(OR(TYPE(I73)&gt;1,TYPE(MATCH(I73,O$11:O$139,0))&gt;1),0,MATCH(I73,O$11:O$139,0))+IF(OR(TYPE(I73)&gt;1,TYPE(MATCH(I73,U$11:U$139,0))&gt;1),0,MATCH(I73,U$11:U$139,0))+IF(OR(TYPE(I73)&gt;1,TYPE(MATCH(I73,AA$11:AA$139,0))&gt;1),0,MATCH(I73,AA$11:AA$139,0))</f>
        <v>0</v>
      </c>
      <c r="AO73" s="395">
        <f ca="1">IF(OR(TYPE(O73)&gt;1,TYPE(MATCH(O73,I$11:I$139,0))&gt;1),0,MATCH(O73,I$11:I$139,0))+IF(OR(TYPE(O73)&gt;1,TYPE(MATCH(O73,O74:O$139,0))&gt;1),0,MATCH(O73,O74:O$139,0))+IF(OR(TYPE(O73)&gt;1,TYPE(MATCH(O73,U$11:U$139,0))&gt;1),0,MATCH(O73,U$11:U$139,0))+IF(OR(TYPE(O73)&gt;1,TYPE(MATCH(O73,AA$11:AA$139,0))&gt;1),0,MATCH(O73,AA$11:AA$139,0))</f>
        <v>0</v>
      </c>
      <c r="AP73" s="395">
        <f ca="1">IF(OR(TYPE(U73)&gt;1,TYPE(MATCH(U73,I$11:I$139,0))&gt;1),0,MATCH(U73,I$11:I$139,0))+IF(OR(TYPE(U73)&gt;1,TYPE(MATCH(U73,O$11:O$139,0))&gt;1),0,MATCH(U73,O$11:O$139,0))+IF(OR(TYPE(U73)&gt;1,TYPE(MATCH(U73,U74:U$139,0))&gt;1),0,MATCH(U73,U74:U$139,0))+IF(OR(TYPE(U73)&gt;1,TYPE(MATCH(U73,AA$11:AA$139,0))&gt;1),0,MATCH(U73,AA$11:AA$139,0))</f>
        <v>0</v>
      </c>
      <c r="AQ73" s="395">
        <f ca="1">IF(OR(TYPE(AA73)&gt;1,TYPE(MATCH(AA73,I$11:I$139,0))&gt;1),0,MATCH(AA73,I$11:I$139,0))+IF(OR(TYPE(AA73)&gt;1,TYPE(MATCH(AA73,O$11:O$139,0))&gt;1),0,MATCH(AA73,O$11:O$139,0))+IF(OR(TYPE(AA73)&gt;1,TYPE(MATCH(AA73,U$11:U$139,0))&gt;1),0,MATCH(U73,U$11:U$139,0))+IF(OR(TYPE(AA73)&gt;1,TYPE(MATCH(AA73,AA74:AA$139,0))&gt;1),0,MATCH(AA73,AA74:AA$139,0))</f>
        <v>0</v>
      </c>
      <c r="AR73" s="395">
        <f t="shared" ca="1" si="14"/>
        <v>0</v>
      </c>
      <c r="BF73" s="395">
        <f t="shared" si="15"/>
        <v>63</v>
      </c>
    </row>
    <row r="74" spans="1:58" ht="12.9">
      <c r="A74" s="387">
        <f t="shared" ca="1" si="16"/>
        <v>0</v>
      </c>
      <c r="B74" s="387">
        <f t="shared" ca="1" si="17"/>
        <v>0</v>
      </c>
      <c r="C74" s="387">
        <f t="shared" ca="1" si="18"/>
        <v>0</v>
      </c>
      <c r="D74" s="387">
        <f t="shared" ca="1" si="19"/>
        <v>99999</v>
      </c>
      <c r="E74" s="387">
        <f t="shared" ca="1" si="20"/>
        <v>9999</v>
      </c>
      <c r="F74" s="417" t="str">
        <f t="shared" ca="1" si="21"/>
        <v>00000000000000000000530780</v>
      </c>
      <c r="G74" s="453" t="b">
        <f t="shared" ca="1" si="22"/>
        <v>1</v>
      </c>
      <c r="H74" s="454">
        <f t="shared" si="23"/>
        <v>64</v>
      </c>
      <c r="I74" s="455" t="str">
        <f t="shared" ca="1" si="24"/>
        <v/>
      </c>
      <c r="J74" s="456" t="str">
        <f ca="1">IF(N(I74)&gt;0,VLOOKUP(I74,Hraci!$A$1:$I$1500,2,0),IF(TYPE(INDIRECT(ADDRESS(ROW() + $A$9-9 + (ROW()-11)*4,2,1,1,"Internet")))&gt;1,INDIRECT(ADDRESS(ROW() + $A$9-9 + (ROW()-11)*4,2,1,1,"Internet"))," "))</f>
        <v xml:space="preserve"> </v>
      </c>
      <c r="K74" s="457" t="str">
        <f ca="1">IF(N(I74)&gt;0,VLOOKUP(I74,Hraci!$A$1:$I$1500,3,0)," ")</f>
        <v xml:space="preserve"> </v>
      </c>
      <c r="L74" s="457" t="str">
        <f ca="1">IF(N(I74)&gt;0,VLOOKUP(I74,Hraci!$A$1:$I$1500,5,0),IF(TYPE(INDIRECT(ADDRESS(ROW() + $A$9-9 + (ROW()-11)*4,3,1,1,"Internet")))&gt;1,INDIRECT(ADDRESS(ROW() + $A$9-9 + (ROW()-11)*4,3,1,1,"Internet"))," "))</f>
        <v xml:space="preserve"> </v>
      </c>
      <c r="M74" s="395">
        <f ca="1">IF(N(I74)=0,9999,VLOOKUP(I74,Hraci!$A$1:$I$1500,8,0))</f>
        <v>9999</v>
      </c>
      <c r="N74" s="458">
        <f ca="1">IF(N(I74)=0,0,VLOOKUP(I74,Hraci!$A$1:$I$1500,9,0))</f>
        <v>0</v>
      </c>
      <c r="O74" s="455" t="str">
        <f t="shared" ca="1" si="25"/>
        <v/>
      </c>
      <c r="P74" s="456" t="str">
        <f ca="1">IF(N(O74)&gt;0,VLOOKUP(O74,Hraci!$A$1:$I$1500,2,0),IF(TYPE(INDIRECT(ADDRESS(ROW() + $A$9-8 + (ROW()-11)*4,2,1,1,"Internet")))&gt;1,INDIRECT(ADDRESS(ROW() + $A$9-8 + (ROW()-11)*4,2,1,1,"Internet"))," "))</f>
        <v xml:space="preserve"> </v>
      </c>
      <c r="Q74" s="457" t="str">
        <f ca="1">IF(N(O74)&gt;0,VLOOKUP(O74,Hraci!$A$1:$I$1500,3,0)," ")</f>
        <v xml:space="preserve"> </v>
      </c>
      <c r="R74" s="457" t="str">
        <f ca="1">IF(N(O74)&gt;0,VLOOKUP(O74,Hraci!$A$1:$I$1500,5,0),IF(TYPE(INDIRECT(ADDRESS(ROW() + $A$9-8 + (ROW()-11)*4,3,1,1,"Internet")))&gt;1,INDIRECT(ADDRESS(ROW() + $A$9-8 + (ROW()-11)*4,3,1,1,"Internet"))," "))</f>
        <v xml:space="preserve"> </v>
      </c>
      <c r="S74" s="395">
        <f ca="1">IF(N(O74)=0,9999,VLOOKUP(O74,Hraci!$A$1:$I$1500,8,0))</f>
        <v>9999</v>
      </c>
      <c r="T74" s="458">
        <f ca="1">IF(N(O74)=0,0,VLOOKUP(O74,Hraci!$A$1:$I$1500,9,0))</f>
        <v>0</v>
      </c>
      <c r="U74" s="455" t="str">
        <f t="shared" ca="1" si="26"/>
        <v/>
      </c>
      <c r="V74" s="456" t="str">
        <f ca="1">IF(N(U74)&gt;0,VLOOKUP(U74,Hraci!$A$1:$I$1500,2,0),IF(TYPE(INDIRECT(ADDRESS(ROW() + $A$9-7 + (ROW()-11)*4,2,1,1,"Internet")))&gt;1,INDIRECT(ADDRESS(ROW() + $A$9-7 + (ROW()-11)*4,2,1,1,"Internet"))," "))</f>
        <v xml:space="preserve"> </v>
      </c>
      <c r="W74" s="457" t="str">
        <f ca="1">IF(N(U74)&gt;0,VLOOKUP(U74,Hraci!$A$1:$I$1500,3,0)," ")</f>
        <v xml:space="preserve"> </v>
      </c>
      <c r="X74" s="457" t="str">
        <f ca="1">IF(N(U74)&gt;0,VLOOKUP(U74,Hraci!$A$1:$I$1500,5,0),IF(TYPE(INDIRECT(ADDRESS(ROW() + $A$9-7 + (ROW()-11)*4,3,1,1,"Internet")))&gt;1,INDIRECT(ADDRESS(ROW() + $A$9-7 + (ROW()-11)*4,3,1,1,"Internet"))," "))</f>
        <v xml:space="preserve"> </v>
      </c>
      <c r="Y74" s="395">
        <f ca="1">IF(N(U74)=0,9999,VLOOKUP(U74,Hraci!$A$1:$I$1500,8,0))</f>
        <v>9999</v>
      </c>
      <c r="Z74" s="458">
        <f ca="1">IF(N(U74)=0,0,VLOOKUP(U74,Hraci!$A$1:$I$1500,9,0))</f>
        <v>0</v>
      </c>
      <c r="AA74" s="455" t="str">
        <f t="shared" ca="1" si="27"/>
        <v/>
      </c>
      <c r="AB74" s="456" t="str">
        <f ca="1">IF(N(AA74)&gt;0,VLOOKUP(AA74,Hraci!$A$1:$I$1500,2,0)," ")</f>
        <v xml:space="preserve"> </v>
      </c>
      <c r="AC74" s="457" t="str">
        <f ca="1">IF(N(AA74)&gt;0,VLOOKUP(AA74,Hraci!$A$1:$I$1500,3,0)," ")</f>
        <v xml:space="preserve"> </v>
      </c>
      <c r="AD74" s="457" t="str">
        <f ca="1">IF(N(AA74)&gt;0,VLOOKUP(AA74,Hraci!$A$1:$I$1500,5,0)," ")</f>
        <v xml:space="preserve"> </v>
      </c>
      <c r="AE74" s="395">
        <f ca="1">IF(N(AA74)=0,9999,VLOOKUP(AA74,Hraci!$A$1:$I$1500,8,0))</f>
        <v>9999</v>
      </c>
      <c r="AF74" s="458">
        <f ca="1">IF(N(AA74)=0,0,VLOOKUP(AA74,Hraci!$A$1:$I$1500,9,0))</f>
        <v>0</v>
      </c>
      <c r="AG74" s="459"/>
      <c r="AH74" s="465">
        <f ca="1">IF(TYPE(VLOOKUP(H74,Nasazení!$A$3:$E$130,5,0))&lt;4,VLOOKUP(H74,Nasazení!$A$3:$E$130,5,0),0)</f>
        <v>0</v>
      </c>
      <c r="AI74" s="460" t="str">
        <f ca="1">IF(N($AH74)&gt;0,VLOOKUP($AH74,Body!$A$4:$F$259,5,0),"")</f>
        <v/>
      </c>
      <c r="AJ74" s="461" t="str">
        <f ca="1">IF(N($AH74)&gt;0,VLOOKUP($AH74,Body!$A$4:$F$259,6,0),"")</f>
        <v/>
      </c>
      <c r="AK74" s="460" t="str">
        <f ca="1">IF(N($AH74)&gt;0,VLOOKUP($AH74,Body!$A$4:$F$259,2,0),"")</f>
        <v/>
      </c>
      <c r="AL74" s="462" t="str">
        <f t="shared" ca="1" si="28"/>
        <v/>
      </c>
      <c r="AM74" s="463">
        <f t="shared" ca="1" si="29"/>
        <v>0</v>
      </c>
      <c r="AN74" s="395">
        <f ca="1">IF(OR(TYPE(I74)&gt;1,TYPE(MATCH(I74,I75:I$139,0))&gt;1),0,MATCH(I74,I75:I$139,0))+IF(OR(TYPE(I74)&gt;1,TYPE(MATCH(I74,O$11:O$139,0))&gt;1),0,MATCH(I74,O$11:O$139,0))+IF(OR(TYPE(I74)&gt;1,TYPE(MATCH(I74,U$11:U$139,0))&gt;1),0,MATCH(I74,U$11:U$139,0))+IF(OR(TYPE(I74)&gt;1,TYPE(MATCH(I74,AA$11:AA$139,0))&gt;1),0,MATCH(I74,AA$11:AA$139,0))</f>
        <v>0</v>
      </c>
      <c r="AO74" s="395">
        <f ca="1">IF(OR(TYPE(O74)&gt;1,TYPE(MATCH(O74,I$11:I$139,0))&gt;1),0,MATCH(O74,I$11:I$139,0))+IF(OR(TYPE(O74)&gt;1,TYPE(MATCH(O74,O75:O$139,0))&gt;1),0,MATCH(O74,O75:O$139,0))+IF(OR(TYPE(O74)&gt;1,TYPE(MATCH(O74,U$11:U$139,0))&gt;1),0,MATCH(O74,U$11:U$139,0))+IF(OR(TYPE(O74)&gt;1,TYPE(MATCH(O74,AA$11:AA$139,0))&gt;1),0,MATCH(O74,AA$11:AA$139,0))</f>
        <v>0</v>
      </c>
      <c r="AP74" s="395">
        <f ca="1">IF(OR(TYPE(U74)&gt;1,TYPE(MATCH(U74,I$11:I$139,0))&gt;1),0,MATCH(U74,I$11:I$139,0))+IF(OR(TYPE(U74)&gt;1,TYPE(MATCH(U74,O$11:O$139,0))&gt;1),0,MATCH(U74,O$11:O$139,0))+IF(OR(TYPE(U74)&gt;1,TYPE(MATCH(U74,U75:U$139,0))&gt;1),0,MATCH(U74,U75:U$139,0))+IF(OR(TYPE(U74)&gt;1,TYPE(MATCH(U74,AA$11:AA$139,0))&gt;1),0,MATCH(U74,AA$11:AA$139,0))</f>
        <v>0</v>
      </c>
      <c r="AQ74" s="395">
        <f ca="1">IF(OR(TYPE(AA74)&gt;1,TYPE(MATCH(AA74,I$11:I$139,0))&gt;1),0,MATCH(AA74,I$11:I$139,0))+IF(OR(TYPE(AA74)&gt;1,TYPE(MATCH(AA74,O$11:O$139,0))&gt;1),0,MATCH(AA74,O$11:O$139,0))+IF(OR(TYPE(AA74)&gt;1,TYPE(MATCH(AA74,U$11:U$139,0))&gt;1),0,MATCH(U74,U$11:U$139,0))+IF(OR(TYPE(AA74)&gt;1,TYPE(MATCH(AA74,AA75:AA$139,0))&gt;1),0,MATCH(AA74,AA75:AA$139,0))</f>
        <v>0</v>
      </c>
      <c r="AR74" s="395">
        <f t="shared" ca="1" si="14"/>
        <v>0</v>
      </c>
      <c r="BF74" s="395">
        <f t="shared" si="15"/>
        <v>64</v>
      </c>
    </row>
    <row r="75" spans="1:58" ht="12.9">
      <c r="A75" s="387">
        <f t="shared" ref="A75:A106" ca="1" si="30">IF(OR(LEFT(J75,1)=" ",ISBLANK(J75)),0,1)+IF(OR(LEFT(P75,1)=" ",ISBLANK(P75)),0,1)+IF(OR(LEFT(V75,1)=" ",ISBLANK(V75)),0,1)</f>
        <v>0</v>
      </c>
      <c r="B75" s="387">
        <f t="shared" ref="B75:B106" ca="1" si="31">IF(AND(TYPE(G75&lt;15),G75=FALSE),1,0)</f>
        <v>0</v>
      </c>
      <c r="C75" s="387">
        <f t="shared" ref="C75:C106" ca="1" si="32">IF(B75=0,0,N75+T75+Z75)</f>
        <v>0</v>
      </c>
      <c r="D75" s="387">
        <f t="shared" ref="D75:D106" ca="1" si="33">IF(B75=0,99999,M75+S75+Y75)</f>
        <v>99999</v>
      </c>
      <c r="E75" s="387">
        <f t="shared" ref="E75:E106" ca="1" si="34">MIN(M75,S75,Y75)</f>
        <v>9999</v>
      </c>
      <c r="F75" s="417" t="str">
        <f t="shared" ref="F75:F106" ca="1" si="35">CONCATENATE(IF(AND($P$4=1,H75&gt;2*$O$7),"0","9"),TEXT(B75,"0"),IF(AND($P$4=1,H75&gt;2*$O$7),"000000",TEXT(1000*C75,"000000")),IF(AND($P$4=1,H75&gt;2*$O$7),"000000",TEXT(999999-D75,"000000")),IF(AND($P$4=1,H75&gt;2*$O$7),"000000",TEXT(999999-E75,"000000")),TEXT(999999*RAND(),"000000"))</f>
        <v>00000000000000000000296248</v>
      </c>
      <c r="G75" s="453" t="b">
        <f t="shared" ref="G75:G106" ca="1" si="36">IF(OR($K$6&gt;A75,AR75&gt;0),TRUE,FALSE)</f>
        <v>1</v>
      </c>
      <c r="H75" s="454">
        <f t="shared" ref="H75:H106" si="37">ROW(H75)-10</f>
        <v>65</v>
      </c>
      <c r="I75" s="455" t="str">
        <f t="shared" ref="I75:I106" ca="1" si="38">IF(N(INDIRECT(ADDRESS(ROW() + $A$9-9 + (ROW()-11)*4,1,1,1,"Internet")))&gt;0,INDIRECT(ADDRESS(ROW() + $A$9-9 + (ROW()-11)*4,1,1,1,"Internet")),"")</f>
        <v/>
      </c>
      <c r="J75" s="456" t="str">
        <f ca="1">IF(N(I75)&gt;0,VLOOKUP(I75,Hraci!$A$1:$I$1500,2,0),IF(TYPE(INDIRECT(ADDRESS(ROW() + $A$9-9 + (ROW()-11)*4,2,1,1,"Internet")))&gt;1,INDIRECT(ADDRESS(ROW() + $A$9-9 + (ROW()-11)*4,2,1,1,"Internet"))," "))</f>
        <v xml:space="preserve"> </v>
      </c>
      <c r="K75" s="457" t="str">
        <f ca="1">IF(N(I75)&gt;0,VLOOKUP(I75,Hraci!$A$1:$I$1500,3,0)," ")</f>
        <v xml:space="preserve"> </v>
      </c>
      <c r="L75" s="457" t="str">
        <f ca="1">IF(N(I75)&gt;0,VLOOKUP(I75,Hraci!$A$1:$I$1500,5,0),IF(TYPE(INDIRECT(ADDRESS(ROW() + $A$9-9 + (ROW()-11)*4,3,1,1,"Internet")))&gt;1,INDIRECT(ADDRESS(ROW() + $A$9-9 + (ROW()-11)*4,3,1,1,"Internet"))," "))</f>
        <v xml:space="preserve"> </v>
      </c>
      <c r="M75" s="395">
        <f ca="1">IF(N(I75)=0,9999,VLOOKUP(I75,Hraci!$A$1:$I$1500,8,0))</f>
        <v>9999</v>
      </c>
      <c r="N75" s="458">
        <f ca="1">IF(N(I75)=0,0,VLOOKUP(I75,Hraci!$A$1:$I$1500,9,0))</f>
        <v>0</v>
      </c>
      <c r="O75" s="455" t="str">
        <f t="shared" ref="O75:O106" ca="1" si="39">IF(N(INDIRECT(ADDRESS(ROW() + $A$9-8 + (ROW()-11)*4,1,1,1,"Internet")))&gt;0,INDIRECT(ADDRESS(ROW() + $A$9-8 + (ROW()-11)*4,1,1,1,"Internet")),"")</f>
        <v/>
      </c>
      <c r="P75" s="456" t="str">
        <f ca="1">IF(N(O75)&gt;0,VLOOKUP(O75,Hraci!$A$1:$I$1500,2,0),IF(TYPE(INDIRECT(ADDRESS(ROW() + $A$9-8 + (ROW()-11)*4,2,1,1,"Internet")))&gt;1,INDIRECT(ADDRESS(ROW() + $A$9-8 + (ROW()-11)*4,2,1,1,"Internet"))," "))</f>
        <v xml:space="preserve"> </v>
      </c>
      <c r="Q75" s="457" t="str">
        <f ca="1">IF(N(O75)&gt;0,VLOOKUP(O75,Hraci!$A$1:$I$1500,3,0)," ")</f>
        <v xml:space="preserve"> </v>
      </c>
      <c r="R75" s="457" t="str">
        <f ca="1">IF(N(O75)&gt;0,VLOOKUP(O75,Hraci!$A$1:$I$1500,5,0),IF(TYPE(INDIRECT(ADDRESS(ROW() + $A$9-8 + (ROW()-11)*4,3,1,1,"Internet")))&gt;1,INDIRECT(ADDRESS(ROW() + $A$9-8 + (ROW()-11)*4,3,1,1,"Internet"))," "))</f>
        <v xml:space="preserve"> </v>
      </c>
      <c r="S75" s="395">
        <f ca="1">IF(N(O75)=0,9999,VLOOKUP(O75,Hraci!$A$1:$I$1500,8,0))</f>
        <v>9999</v>
      </c>
      <c r="T75" s="458">
        <f ca="1">IF(N(O75)=0,0,VLOOKUP(O75,Hraci!$A$1:$I$1500,9,0))</f>
        <v>0</v>
      </c>
      <c r="U75" s="455" t="str">
        <f t="shared" ref="U75:U106" ca="1" si="40">IF(N(INDIRECT(ADDRESS(ROW() + $A$9-7 + (ROW()-11)*4,1,1,1,"Internet")))&gt;0,INDIRECT(ADDRESS(ROW() + $A$9-7 + (ROW()-11)*4,1,1,1,"Internet")),"")</f>
        <v/>
      </c>
      <c r="V75" s="456" t="str">
        <f ca="1">IF(N(U75)&gt;0,VLOOKUP(U75,Hraci!$A$1:$I$1500,2,0),IF(TYPE(INDIRECT(ADDRESS(ROW() + $A$9-7 + (ROW()-11)*4,2,1,1,"Internet")))&gt;1,INDIRECT(ADDRESS(ROW() + $A$9-7 + (ROW()-11)*4,2,1,1,"Internet"))," "))</f>
        <v xml:space="preserve"> </v>
      </c>
      <c r="W75" s="457" t="str">
        <f ca="1">IF(N(U75)&gt;0,VLOOKUP(U75,Hraci!$A$1:$I$1500,3,0)," ")</f>
        <v xml:space="preserve"> </v>
      </c>
      <c r="X75" s="457" t="str">
        <f ca="1">IF(N(U75)&gt;0,VLOOKUP(U75,Hraci!$A$1:$I$1500,5,0),IF(TYPE(INDIRECT(ADDRESS(ROW() + $A$9-7 + (ROW()-11)*4,3,1,1,"Internet")))&gt;1,INDIRECT(ADDRESS(ROW() + $A$9-7 + (ROW()-11)*4,3,1,1,"Internet"))," "))</f>
        <v xml:space="preserve"> </v>
      </c>
      <c r="Y75" s="395">
        <f ca="1">IF(N(U75)=0,9999,VLOOKUP(U75,Hraci!$A$1:$I$1500,8,0))</f>
        <v>9999</v>
      </c>
      <c r="Z75" s="458">
        <f ca="1">IF(N(U75)=0,0,VLOOKUP(U75,Hraci!$A$1:$I$1500,9,0))</f>
        <v>0</v>
      </c>
      <c r="AA75" s="455" t="str">
        <f t="shared" ref="AA75:AA106" ca="1" si="41">IF(N(INDIRECT(ADDRESS(ROW() + $A$9-6 + (ROW()-11)*4,1,1,1,"Internet")))&gt;0,INDIRECT(ADDRESS(ROW() + $A$9-6 + (ROW()-11)*4,1,1,1,"Internet")),"")</f>
        <v/>
      </c>
      <c r="AB75" s="456" t="str">
        <f ca="1">IF(N(AA75)&gt;0,VLOOKUP(AA75,Hraci!$A$1:$I$1500,2,0)," ")</f>
        <v xml:space="preserve"> </v>
      </c>
      <c r="AC75" s="457" t="str">
        <f ca="1">IF(N(AA75)&gt;0,VLOOKUP(AA75,Hraci!$A$1:$I$1500,3,0)," ")</f>
        <v xml:space="preserve"> </v>
      </c>
      <c r="AD75" s="457" t="str">
        <f ca="1">IF(N(AA75)&gt;0,VLOOKUP(AA75,Hraci!$A$1:$I$1500,5,0)," ")</f>
        <v xml:space="preserve"> </v>
      </c>
      <c r="AE75" s="395">
        <f ca="1">IF(N(AA75)=0,9999,VLOOKUP(AA75,Hraci!$A$1:$I$1500,8,0))</f>
        <v>9999</v>
      </c>
      <c r="AF75" s="458">
        <f ca="1">IF(N(AA75)=0,0,VLOOKUP(AA75,Hraci!$A$1:$I$1500,9,0))</f>
        <v>0</v>
      </c>
      <c r="AG75" s="459"/>
      <c r="AH75" s="465">
        <f ca="1">IF(TYPE(VLOOKUP(H75,Nasazení!$A$3:$E$130,5,0))&lt;4,VLOOKUP(H75,Nasazení!$A$3:$E$130,5,0),0)</f>
        <v>0</v>
      </c>
      <c r="AI75" s="460" t="str">
        <f ca="1">IF(N($AH75)&gt;0,VLOOKUP($AH75,Body!$A$4:$F$259,5,0),"")</f>
        <v/>
      </c>
      <c r="AJ75" s="461" t="str">
        <f ca="1">IF(N($AH75)&gt;0,VLOOKUP($AH75,Body!$A$4:$F$259,6,0),"")</f>
        <v/>
      </c>
      <c r="AK75" s="460" t="str">
        <f ca="1">IF(N($AH75)&gt;0,VLOOKUP($AH75,Body!$A$4:$F$259,2,0),"")</f>
        <v/>
      </c>
      <c r="AL75" s="462" t="str">
        <f t="shared" ref="AL75:AL106" ca="1" si="42">IF(N(H75)&gt;$K$7,"",CONCATENATE(IF($U$7="","",H75&amp;" "),L75,IF(L75="",""," - "),J75," ",K75))</f>
        <v/>
      </c>
      <c r="AM75" s="463">
        <f t="shared" ref="AM75:AM106" ca="1" si="43">C75</f>
        <v>0</v>
      </c>
      <c r="AN75" s="395">
        <f ca="1">IF(OR(TYPE(I75)&gt;1,TYPE(MATCH(I75,I76:I$139,0))&gt;1),0,MATCH(I75,I76:I$139,0))+IF(OR(TYPE(I75)&gt;1,TYPE(MATCH(I75,O$11:O$139,0))&gt;1),0,MATCH(I75,O$11:O$139,0))+IF(OR(TYPE(I75)&gt;1,TYPE(MATCH(I75,U$11:U$139,0))&gt;1),0,MATCH(I75,U$11:U$139,0))+IF(OR(TYPE(I75)&gt;1,TYPE(MATCH(I75,AA$11:AA$139,0))&gt;1),0,MATCH(I75,AA$11:AA$139,0))</f>
        <v>0</v>
      </c>
      <c r="AO75" s="395">
        <f ca="1">IF(OR(TYPE(O75)&gt;1,TYPE(MATCH(O75,I$11:I$139,0))&gt;1),0,MATCH(O75,I$11:I$139,0))+IF(OR(TYPE(O75)&gt;1,TYPE(MATCH(O75,O76:O$139,0))&gt;1),0,MATCH(O75,O76:O$139,0))+IF(OR(TYPE(O75)&gt;1,TYPE(MATCH(O75,U$11:U$139,0))&gt;1),0,MATCH(O75,U$11:U$139,0))+IF(OR(TYPE(O75)&gt;1,TYPE(MATCH(O75,AA$11:AA$139,0))&gt;1),0,MATCH(O75,AA$11:AA$139,0))</f>
        <v>0</v>
      </c>
      <c r="AP75" s="395">
        <f ca="1">IF(OR(TYPE(U75)&gt;1,TYPE(MATCH(U75,I$11:I$139,0))&gt;1),0,MATCH(U75,I$11:I$139,0))+IF(OR(TYPE(U75)&gt;1,TYPE(MATCH(U75,O$11:O$139,0))&gt;1),0,MATCH(U75,O$11:O$139,0))+IF(OR(TYPE(U75)&gt;1,TYPE(MATCH(U75,U76:U$139,0))&gt;1),0,MATCH(U75,U76:U$139,0))+IF(OR(TYPE(U75)&gt;1,TYPE(MATCH(U75,AA$11:AA$139,0))&gt;1),0,MATCH(U75,AA$11:AA$139,0))</f>
        <v>0</v>
      </c>
      <c r="AQ75" s="395">
        <f ca="1">IF(OR(TYPE(AA75)&gt;1,TYPE(MATCH(AA75,I$11:I$139,0))&gt;1),0,MATCH(AA75,I$11:I$139,0))+IF(OR(TYPE(AA75)&gt;1,TYPE(MATCH(AA75,O$11:O$139,0))&gt;1),0,MATCH(AA75,O$11:O$139,0))+IF(OR(TYPE(AA75)&gt;1,TYPE(MATCH(AA75,U$11:U$139,0))&gt;1),0,MATCH(U75,U$11:U$139,0))+IF(OR(TYPE(AA75)&gt;1,TYPE(MATCH(AA75,AA76:AA$139,0))&gt;1),0,MATCH(AA75,AA76:AA$139,0))</f>
        <v>0</v>
      </c>
      <c r="AR75" s="395">
        <f t="shared" ca="1" si="14"/>
        <v>0</v>
      </c>
      <c r="BF75" s="395">
        <f t="shared" si="15"/>
        <v>65</v>
      </c>
    </row>
    <row r="76" spans="1:58" ht="12.9">
      <c r="A76" s="387">
        <f t="shared" ca="1" si="30"/>
        <v>0</v>
      </c>
      <c r="B76" s="387">
        <f t="shared" ca="1" si="31"/>
        <v>0</v>
      </c>
      <c r="C76" s="387">
        <f t="shared" ca="1" si="32"/>
        <v>0</v>
      </c>
      <c r="D76" s="387">
        <f t="shared" ca="1" si="33"/>
        <v>99999</v>
      </c>
      <c r="E76" s="387">
        <f t="shared" ca="1" si="34"/>
        <v>9999</v>
      </c>
      <c r="F76" s="417" t="str">
        <f t="shared" ca="1" si="35"/>
        <v>00000000000000000000265823</v>
      </c>
      <c r="G76" s="453" t="b">
        <f t="shared" ca="1" si="36"/>
        <v>1</v>
      </c>
      <c r="H76" s="454">
        <f t="shared" si="37"/>
        <v>66</v>
      </c>
      <c r="I76" s="455" t="str">
        <f t="shared" ca="1" si="38"/>
        <v/>
      </c>
      <c r="J76" s="456" t="str">
        <f ca="1">IF(N(I76)&gt;0,VLOOKUP(I76,Hraci!$A$1:$I$1500,2,0),IF(TYPE(INDIRECT(ADDRESS(ROW() + $A$9-9 + (ROW()-11)*4,2,1,1,"Internet")))&gt;1,INDIRECT(ADDRESS(ROW() + $A$9-9 + (ROW()-11)*4,2,1,1,"Internet"))," "))</f>
        <v xml:space="preserve"> </v>
      </c>
      <c r="K76" s="457" t="str">
        <f ca="1">IF(N(I76)&gt;0,VLOOKUP(I76,Hraci!$A$1:$I$1500,3,0)," ")</f>
        <v xml:space="preserve"> </v>
      </c>
      <c r="L76" s="457" t="str">
        <f ca="1">IF(N(I76)&gt;0,VLOOKUP(I76,Hraci!$A$1:$I$1500,5,0),IF(TYPE(INDIRECT(ADDRESS(ROW() + $A$9-9 + (ROW()-11)*4,3,1,1,"Internet")))&gt;1,INDIRECT(ADDRESS(ROW() + $A$9-9 + (ROW()-11)*4,3,1,1,"Internet"))," "))</f>
        <v xml:space="preserve"> </v>
      </c>
      <c r="M76" s="395">
        <f ca="1">IF(N(I76)=0,9999,VLOOKUP(I76,Hraci!$A$1:$I$1500,8,0))</f>
        <v>9999</v>
      </c>
      <c r="N76" s="458">
        <f ca="1">IF(N(I76)=0,0,VLOOKUP(I76,Hraci!$A$1:$I$1500,9,0))</f>
        <v>0</v>
      </c>
      <c r="O76" s="455" t="str">
        <f t="shared" ca="1" si="39"/>
        <v/>
      </c>
      <c r="P76" s="456" t="str">
        <f ca="1">IF(N(O76)&gt;0,VLOOKUP(O76,Hraci!$A$1:$I$1500,2,0),IF(TYPE(INDIRECT(ADDRESS(ROW() + $A$9-8 + (ROW()-11)*4,2,1,1,"Internet")))&gt;1,INDIRECT(ADDRESS(ROW() + $A$9-8 + (ROW()-11)*4,2,1,1,"Internet"))," "))</f>
        <v xml:space="preserve"> </v>
      </c>
      <c r="Q76" s="457" t="str">
        <f ca="1">IF(N(O76)&gt;0,VLOOKUP(O76,Hraci!$A$1:$I$1500,3,0)," ")</f>
        <v xml:space="preserve"> </v>
      </c>
      <c r="R76" s="457" t="str">
        <f ca="1">IF(N(O76)&gt;0,VLOOKUP(O76,Hraci!$A$1:$I$1500,5,0),IF(TYPE(INDIRECT(ADDRESS(ROW() + $A$9-8 + (ROW()-11)*4,3,1,1,"Internet")))&gt;1,INDIRECT(ADDRESS(ROW() + $A$9-8 + (ROW()-11)*4,3,1,1,"Internet"))," "))</f>
        <v xml:space="preserve"> </v>
      </c>
      <c r="S76" s="395">
        <f ca="1">IF(N(O76)=0,9999,VLOOKUP(O76,Hraci!$A$1:$I$1500,8,0))</f>
        <v>9999</v>
      </c>
      <c r="T76" s="458">
        <f ca="1">IF(N(O76)=0,0,VLOOKUP(O76,Hraci!$A$1:$I$1500,9,0))</f>
        <v>0</v>
      </c>
      <c r="U76" s="455" t="str">
        <f t="shared" ca="1" si="40"/>
        <v/>
      </c>
      <c r="V76" s="456" t="str">
        <f ca="1">IF(N(U76)&gt;0,VLOOKUP(U76,Hraci!$A$1:$I$1500,2,0),IF(TYPE(INDIRECT(ADDRESS(ROW() + $A$9-7 + (ROW()-11)*4,2,1,1,"Internet")))&gt;1,INDIRECT(ADDRESS(ROW() + $A$9-7 + (ROW()-11)*4,2,1,1,"Internet"))," "))</f>
        <v xml:space="preserve"> </v>
      </c>
      <c r="W76" s="457" t="str">
        <f ca="1">IF(N(U76)&gt;0,VLOOKUP(U76,Hraci!$A$1:$I$1500,3,0)," ")</f>
        <v xml:space="preserve"> </v>
      </c>
      <c r="X76" s="457" t="str">
        <f ca="1">IF(N(U76)&gt;0,VLOOKUP(U76,Hraci!$A$1:$I$1500,5,0),IF(TYPE(INDIRECT(ADDRESS(ROW() + $A$9-7 + (ROW()-11)*4,3,1,1,"Internet")))&gt;1,INDIRECT(ADDRESS(ROW() + $A$9-7 + (ROW()-11)*4,3,1,1,"Internet"))," "))</f>
        <v xml:space="preserve"> </v>
      </c>
      <c r="Y76" s="395">
        <f ca="1">IF(N(U76)=0,9999,VLOOKUP(U76,Hraci!$A$1:$I$1500,8,0))</f>
        <v>9999</v>
      </c>
      <c r="Z76" s="458">
        <f ca="1">IF(N(U76)=0,0,VLOOKUP(U76,Hraci!$A$1:$I$1500,9,0))</f>
        <v>0</v>
      </c>
      <c r="AA76" s="455" t="str">
        <f t="shared" ca="1" si="41"/>
        <v/>
      </c>
      <c r="AB76" s="456" t="str">
        <f ca="1">IF(N(AA76)&gt;0,VLOOKUP(AA76,Hraci!$A$1:$I$1500,2,0)," ")</f>
        <v xml:space="preserve"> </v>
      </c>
      <c r="AC76" s="457" t="str">
        <f ca="1">IF(N(AA76)&gt;0,VLOOKUP(AA76,Hraci!$A$1:$I$1500,3,0)," ")</f>
        <v xml:space="preserve"> </v>
      </c>
      <c r="AD76" s="457" t="str">
        <f ca="1">IF(N(AA76)&gt;0,VLOOKUP(AA76,Hraci!$A$1:$I$1500,5,0)," ")</f>
        <v xml:space="preserve"> </v>
      </c>
      <c r="AE76" s="395">
        <f ca="1">IF(N(AA76)=0,9999,VLOOKUP(AA76,Hraci!$A$1:$I$1500,8,0))</f>
        <v>9999</v>
      </c>
      <c r="AF76" s="458">
        <f ca="1">IF(N(AA76)=0,0,VLOOKUP(AA76,Hraci!$A$1:$I$1500,9,0))</f>
        <v>0</v>
      </c>
      <c r="AG76" s="459"/>
      <c r="AH76" s="465">
        <f ca="1">IF(TYPE(VLOOKUP(H76,Nasazení!$A$3:$E$130,5,0))&lt;4,VLOOKUP(H76,Nasazení!$A$3:$E$130,5,0),0)</f>
        <v>0</v>
      </c>
      <c r="AI76" s="460" t="str">
        <f ca="1">IF(N($AH76)&gt;0,VLOOKUP($AH76,Body!$A$4:$F$259,5,0),"")</f>
        <v/>
      </c>
      <c r="AJ76" s="461" t="str">
        <f ca="1">IF(N($AH76)&gt;0,VLOOKUP($AH76,Body!$A$4:$F$259,6,0),"")</f>
        <v/>
      </c>
      <c r="AK76" s="460" t="str">
        <f ca="1">IF(N($AH76)&gt;0,VLOOKUP($AH76,Body!$A$4:$F$259,2,0),"")</f>
        <v/>
      </c>
      <c r="AL76" s="462" t="str">
        <f t="shared" ca="1" si="42"/>
        <v/>
      </c>
      <c r="AM76" s="463">
        <f t="shared" ca="1" si="43"/>
        <v>0</v>
      </c>
      <c r="AN76" s="395">
        <f ca="1">IF(OR(TYPE(I76)&gt;1,TYPE(MATCH(I76,I77:I$139,0))&gt;1),0,MATCH(I76,I77:I$139,0))+IF(OR(TYPE(I76)&gt;1,TYPE(MATCH(I76,O$11:O$139,0))&gt;1),0,MATCH(I76,O$11:O$139,0))+IF(OR(TYPE(I76)&gt;1,TYPE(MATCH(I76,U$11:U$139,0))&gt;1),0,MATCH(I76,U$11:U$139,0))+IF(OR(TYPE(I76)&gt;1,TYPE(MATCH(I76,AA$11:AA$139,0))&gt;1),0,MATCH(I76,AA$11:AA$139,0))</f>
        <v>0</v>
      </c>
      <c r="AO76" s="395">
        <f ca="1">IF(OR(TYPE(O76)&gt;1,TYPE(MATCH(O76,I$11:I$139,0))&gt;1),0,MATCH(O76,I$11:I$139,0))+IF(OR(TYPE(O76)&gt;1,TYPE(MATCH(O76,O77:O$139,0))&gt;1),0,MATCH(O76,O77:O$139,0))+IF(OR(TYPE(O76)&gt;1,TYPE(MATCH(O76,U$11:U$139,0))&gt;1),0,MATCH(O76,U$11:U$139,0))+IF(OR(TYPE(O76)&gt;1,TYPE(MATCH(O76,AA$11:AA$139,0))&gt;1),0,MATCH(O76,AA$11:AA$139,0))</f>
        <v>0</v>
      </c>
      <c r="AP76" s="395">
        <f ca="1">IF(OR(TYPE(U76)&gt;1,TYPE(MATCH(U76,I$11:I$139,0))&gt;1),0,MATCH(U76,I$11:I$139,0))+IF(OR(TYPE(U76)&gt;1,TYPE(MATCH(U76,O$11:O$139,0))&gt;1),0,MATCH(U76,O$11:O$139,0))+IF(OR(TYPE(U76)&gt;1,TYPE(MATCH(U76,U77:U$139,0))&gt;1),0,MATCH(U76,U77:U$139,0))+IF(OR(TYPE(U76)&gt;1,TYPE(MATCH(U76,AA$11:AA$139,0))&gt;1),0,MATCH(U76,AA$11:AA$139,0))</f>
        <v>0</v>
      </c>
      <c r="AQ76" s="395">
        <f ca="1">IF(OR(TYPE(AA76)&gt;1,TYPE(MATCH(AA76,I$11:I$139,0))&gt;1),0,MATCH(AA76,I$11:I$139,0))+IF(OR(TYPE(AA76)&gt;1,TYPE(MATCH(AA76,O$11:O$139,0))&gt;1),0,MATCH(AA76,O$11:O$139,0))+IF(OR(TYPE(AA76)&gt;1,TYPE(MATCH(AA76,U$11:U$139,0))&gt;1),0,MATCH(U76,U$11:U$139,0))+IF(OR(TYPE(AA76)&gt;1,TYPE(MATCH(AA76,AA77:AA$139,0))&gt;1),0,MATCH(AA76,AA77:AA$139,0))</f>
        <v>0</v>
      </c>
      <c r="AR76" s="395">
        <f t="shared" ref="AR76:AR139" ca="1" si="44">SUM(AN76:AQ76)</f>
        <v>0</v>
      </c>
      <c r="BF76" s="395">
        <f t="shared" ref="BF76:BF138" si="45">H76</f>
        <v>66</v>
      </c>
    </row>
    <row r="77" spans="1:58" ht="12.9">
      <c r="A77" s="387">
        <f t="shared" ca="1" si="30"/>
        <v>0</v>
      </c>
      <c r="B77" s="387">
        <f t="shared" ca="1" si="31"/>
        <v>0</v>
      </c>
      <c r="C77" s="387">
        <f t="shared" ca="1" si="32"/>
        <v>0</v>
      </c>
      <c r="D77" s="387">
        <f t="shared" ca="1" si="33"/>
        <v>99999</v>
      </c>
      <c r="E77" s="387">
        <f t="shared" ca="1" si="34"/>
        <v>9999</v>
      </c>
      <c r="F77" s="417" t="str">
        <f t="shared" ca="1" si="35"/>
        <v>00000000000000000000200652</v>
      </c>
      <c r="G77" s="453" t="b">
        <f t="shared" ca="1" si="36"/>
        <v>1</v>
      </c>
      <c r="H77" s="454">
        <f t="shared" si="37"/>
        <v>67</v>
      </c>
      <c r="I77" s="455" t="str">
        <f t="shared" ca="1" si="38"/>
        <v/>
      </c>
      <c r="J77" s="456" t="str">
        <f ca="1">IF(N(I77)&gt;0,VLOOKUP(I77,Hraci!$A$1:$I$1500,2,0),IF(TYPE(INDIRECT(ADDRESS(ROW() + $A$9-9 + (ROW()-11)*4,2,1,1,"Internet")))&gt;1,INDIRECT(ADDRESS(ROW() + $A$9-9 + (ROW()-11)*4,2,1,1,"Internet"))," "))</f>
        <v xml:space="preserve"> </v>
      </c>
      <c r="K77" s="457" t="str">
        <f ca="1">IF(N(I77)&gt;0,VLOOKUP(I77,Hraci!$A$1:$I$1500,3,0)," ")</f>
        <v xml:space="preserve"> </v>
      </c>
      <c r="L77" s="457" t="str">
        <f ca="1">IF(N(I77)&gt;0,VLOOKUP(I77,Hraci!$A$1:$I$1500,5,0),IF(TYPE(INDIRECT(ADDRESS(ROW() + $A$9-9 + (ROW()-11)*4,3,1,1,"Internet")))&gt;1,INDIRECT(ADDRESS(ROW() + $A$9-9 + (ROW()-11)*4,3,1,1,"Internet"))," "))</f>
        <v xml:space="preserve"> </v>
      </c>
      <c r="M77" s="395">
        <f ca="1">IF(N(I77)=0,9999,VLOOKUP(I77,Hraci!$A$1:$I$1500,8,0))</f>
        <v>9999</v>
      </c>
      <c r="N77" s="458">
        <f ca="1">IF(N(I77)=0,0,VLOOKUP(I77,Hraci!$A$1:$I$1500,9,0))</f>
        <v>0</v>
      </c>
      <c r="O77" s="455" t="str">
        <f t="shared" ca="1" si="39"/>
        <v/>
      </c>
      <c r="P77" s="456" t="str">
        <f ca="1">IF(N(O77)&gt;0,VLOOKUP(O77,Hraci!$A$1:$I$1500,2,0),IF(TYPE(INDIRECT(ADDRESS(ROW() + $A$9-8 + (ROW()-11)*4,2,1,1,"Internet")))&gt;1,INDIRECT(ADDRESS(ROW() + $A$9-8 + (ROW()-11)*4,2,1,1,"Internet"))," "))</f>
        <v xml:space="preserve"> </v>
      </c>
      <c r="Q77" s="457" t="str">
        <f ca="1">IF(N(O77)&gt;0,VLOOKUP(O77,Hraci!$A$1:$I$1500,3,0)," ")</f>
        <v xml:space="preserve"> </v>
      </c>
      <c r="R77" s="457" t="str">
        <f ca="1">IF(N(O77)&gt;0,VLOOKUP(O77,Hraci!$A$1:$I$1500,5,0),IF(TYPE(INDIRECT(ADDRESS(ROW() + $A$9-8 + (ROW()-11)*4,3,1,1,"Internet")))&gt;1,INDIRECT(ADDRESS(ROW() + $A$9-8 + (ROW()-11)*4,3,1,1,"Internet"))," "))</f>
        <v xml:space="preserve"> </v>
      </c>
      <c r="S77" s="395">
        <f ca="1">IF(N(O77)=0,9999,VLOOKUP(O77,Hraci!$A$1:$I$1500,8,0))</f>
        <v>9999</v>
      </c>
      <c r="T77" s="458">
        <f ca="1">IF(N(O77)=0,0,VLOOKUP(O77,Hraci!$A$1:$I$1500,9,0))</f>
        <v>0</v>
      </c>
      <c r="U77" s="455" t="str">
        <f t="shared" ca="1" si="40"/>
        <v/>
      </c>
      <c r="V77" s="456" t="str">
        <f ca="1">IF(N(U77)&gt;0,VLOOKUP(U77,Hraci!$A$1:$I$1500,2,0),IF(TYPE(INDIRECT(ADDRESS(ROW() + $A$9-7 + (ROW()-11)*4,2,1,1,"Internet")))&gt;1,INDIRECT(ADDRESS(ROW() + $A$9-7 + (ROW()-11)*4,2,1,1,"Internet"))," "))</f>
        <v xml:space="preserve"> </v>
      </c>
      <c r="W77" s="457" t="str">
        <f ca="1">IF(N(U77)&gt;0,VLOOKUP(U77,Hraci!$A$1:$I$1500,3,0)," ")</f>
        <v xml:space="preserve"> </v>
      </c>
      <c r="X77" s="457" t="str">
        <f ca="1">IF(N(U77)&gt;0,VLOOKUP(U77,Hraci!$A$1:$I$1500,5,0),IF(TYPE(INDIRECT(ADDRESS(ROW() + $A$9-7 + (ROW()-11)*4,3,1,1,"Internet")))&gt;1,INDIRECT(ADDRESS(ROW() + $A$9-7 + (ROW()-11)*4,3,1,1,"Internet"))," "))</f>
        <v xml:space="preserve"> </v>
      </c>
      <c r="Y77" s="395">
        <f ca="1">IF(N(U77)=0,9999,VLOOKUP(U77,Hraci!$A$1:$I$1500,8,0))</f>
        <v>9999</v>
      </c>
      <c r="Z77" s="458">
        <f ca="1">IF(N(U77)=0,0,VLOOKUP(U77,Hraci!$A$1:$I$1500,9,0))</f>
        <v>0</v>
      </c>
      <c r="AA77" s="455" t="str">
        <f t="shared" ca="1" si="41"/>
        <v/>
      </c>
      <c r="AB77" s="456" t="str">
        <f ca="1">IF(N(AA77)&gt;0,VLOOKUP(AA77,Hraci!$A$1:$I$1500,2,0)," ")</f>
        <v xml:space="preserve"> </v>
      </c>
      <c r="AC77" s="457" t="str">
        <f ca="1">IF(N(AA77)&gt;0,VLOOKUP(AA77,Hraci!$A$1:$I$1500,3,0)," ")</f>
        <v xml:space="preserve"> </v>
      </c>
      <c r="AD77" s="457" t="str">
        <f ca="1">IF(N(AA77)&gt;0,VLOOKUP(AA77,Hraci!$A$1:$I$1500,5,0)," ")</f>
        <v xml:space="preserve"> </v>
      </c>
      <c r="AE77" s="395">
        <f ca="1">IF(N(AA77)=0,9999,VLOOKUP(AA77,Hraci!$A$1:$I$1500,8,0))</f>
        <v>9999</v>
      </c>
      <c r="AF77" s="458">
        <f ca="1">IF(N(AA77)=0,0,VLOOKUP(AA77,Hraci!$A$1:$I$1500,9,0))</f>
        <v>0</v>
      </c>
      <c r="AG77" s="459"/>
      <c r="AH77" s="465">
        <f ca="1">IF(TYPE(VLOOKUP(H77,Nasazení!$A$3:$E$130,5,0))&lt;4,VLOOKUP(H77,Nasazení!$A$3:$E$130,5,0),0)</f>
        <v>0</v>
      </c>
      <c r="AI77" s="460" t="str">
        <f ca="1">IF(N($AH77)&gt;0,VLOOKUP($AH77,Body!$A$4:$F$259,5,0),"")</f>
        <v/>
      </c>
      <c r="AJ77" s="461" t="str">
        <f ca="1">IF(N($AH77)&gt;0,VLOOKUP($AH77,Body!$A$4:$F$259,6,0),"")</f>
        <v/>
      </c>
      <c r="AK77" s="460" t="str">
        <f ca="1">IF(N($AH77)&gt;0,VLOOKUP($AH77,Body!$A$4:$F$259,2,0),"")</f>
        <v/>
      </c>
      <c r="AL77" s="462" t="str">
        <f t="shared" ca="1" si="42"/>
        <v/>
      </c>
      <c r="AM77" s="463">
        <f t="shared" ca="1" si="43"/>
        <v>0</v>
      </c>
      <c r="AN77" s="395">
        <f ca="1">IF(OR(TYPE(I77)&gt;1,TYPE(MATCH(I77,I78:I$139,0))&gt;1),0,MATCH(I77,I78:I$139,0))+IF(OR(TYPE(I77)&gt;1,TYPE(MATCH(I77,O$11:O$139,0))&gt;1),0,MATCH(I77,O$11:O$139,0))+IF(OR(TYPE(I77)&gt;1,TYPE(MATCH(I77,U$11:U$139,0))&gt;1),0,MATCH(I77,U$11:U$139,0))+IF(OR(TYPE(I77)&gt;1,TYPE(MATCH(I77,AA$11:AA$139,0))&gt;1),0,MATCH(I77,AA$11:AA$139,0))</f>
        <v>0</v>
      </c>
      <c r="AO77" s="395">
        <f ca="1">IF(OR(TYPE(O77)&gt;1,TYPE(MATCH(O77,I$11:I$139,0))&gt;1),0,MATCH(O77,I$11:I$139,0))+IF(OR(TYPE(O77)&gt;1,TYPE(MATCH(O77,O78:O$139,0))&gt;1),0,MATCH(O77,O78:O$139,0))+IF(OR(TYPE(O77)&gt;1,TYPE(MATCH(O77,U$11:U$139,0))&gt;1),0,MATCH(O77,U$11:U$139,0))+IF(OR(TYPE(O77)&gt;1,TYPE(MATCH(O77,AA$11:AA$139,0))&gt;1),0,MATCH(O77,AA$11:AA$139,0))</f>
        <v>0</v>
      </c>
      <c r="AP77" s="395">
        <f ca="1">IF(OR(TYPE(U77)&gt;1,TYPE(MATCH(U77,I$11:I$139,0))&gt;1),0,MATCH(U77,I$11:I$139,0))+IF(OR(TYPE(U77)&gt;1,TYPE(MATCH(U77,O$11:O$139,0))&gt;1),0,MATCH(U77,O$11:O$139,0))+IF(OR(TYPE(U77)&gt;1,TYPE(MATCH(U77,U78:U$139,0))&gt;1),0,MATCH(U77,U78:U$139,0))+IF(OR(TYPE(U77)&gt;1,TYPE(MATCH(U77,AA$11:AA$139,0))&gt;1),0,MATCH(U77,AA$11:AA$139,0))</f>
        <v>0</v>
      </c>
      <c r="AQ77" s="395">
        <f ca="1">IF(OR(TYPE(AA77)&gt;1,TYPE(MATCH(AA77,I$11:I$139,0))&gt;1),0,MATCH(AA77,I$11:I$139,0))+IF(OR(TYPE(AA77)&gt;1,TYPE(MATCH(AA77,O$11:O$139,0))&gt;1),0,MATCH(AA77,O$11:O$139,0))+IF(OR(TYPE(AA77)&gt;1,TYPE(MATCH(AA77,U$11:U$139,0))&gt;1),0,MATCH(U77,U$11:U$139,0))+IF(OR(TYPE(AA77)&gt;1,TYPE(MATCH(AA77,AA78:AA$139,0))&gt;1),0,MATCH(AA77,AA78:AA$139,0))</f>
        <v>0</v>
      </c>
      <c r="AR77" s="395">
        <f t="shared" ca="1" si="44"/>
        <v>0</v>
      </c>
      <c r="BF77" s="395">
        <f t="shared" si="45"/>
        <v>67</v>
      </c>
    </row>
    <row r="78" spans="1:58" ht="12.9">
      <c r="A78" s="387">
        <f t="shared" ca="1" si="30"/>
        <v>0</v>
      </c>
      <c r="B78" s="387">
        <f t="shared" ca="1" si="31"/>
        <v>0</v>
      </c>
      <c r="C78" s="387">
        <f t="shared" ca="1" si="32"/>
        <v>0</v>
      </c>
      <c r="D78" s="395">
        <f t="shared" ca="1" si="33"/>
        <v>99999</v>
      </c>
      <c r="E78" s="387">
        <f t="shared" ca="1" si="34"/>
        <v>9999</v>
      </c>
      <c r="F78" s="417" t="str">
        <f t="shared" ca="1" si="35"/>
        <v>00000000000000000000109236</v>
      </c>
      <c r="G78" s="453" t="b">
        <f t="shared" ca="1" si="36"/>
        <v>1</v>
      </c>
      <c r="H78" s="454">
        <f t="shared" si="37"/>
        <v>68</v>
      </c>
      <c r="I78" s="455" t="str">
        <f t="shared" ca="1" si="38"/>
        <v/>
      </c>
      <c r="J78" s="456" t="str">
        <f ca="1">IF(N(I78)&gt;0,VLOOKUP(I78,Hraci!$A$1:$I$1500,2,0),IF(TYPE(INDIRECT(ADDRESS(ROW() + $A$9-9 + (ROW()-11)*4,2,1,1,"Internet")))&gt;1,INDIRECT(ADDRESS(ROW() + $A$9-9 + (ROW()-11)*4,2,1,1,"Internet"))," "))</f>
        <v xml:space="preserve"> </v>
      </c>
      <c r="K78" s="457" t="str">
        <f ca="1">IF(N(I78)&gt;0,VLOOKUP(I78,Hraci!$A$1:$I$1500,3,0)," ")</f>
        <v xml:space="preserve"> </v>
      </c>
      <c r="L78" s="457" t="str">
        <f ca="1">IF(N(I78)&gt;0,VLOOKUP(I78,Hraci!$A$1:$I$1500,5,0),IF(TYPE(INDIRECT(ADDRESS(ROW() + $A$9-9 + (ROW()-11)*4,3,1,1,"Internet")))&gt;1,INDIRECT(ADDRESS(ROW() + $A$9-9 + (ROW()-11)*4,3,1,1,"Internet"))," "))</f>
        <v xml:space="preserve"> </v>
      </c>
      <c r="M78" s="395">
        <f ca="1">IF(N(I78)=0,9999,VLOOKUP(I78,Hraci!$A$1:$I$1500,8,0))</f>
        <v>9999</v>
      </c>
      <c r="N78" s="458">
        <f ca="1">IF(N(I78)=0,0,VLOOKUP(I78,Hraci!$A$1:$I$1500,9,0))</f>
        <v>0</v>
      </c>
      <c r="O78" s="455" t="str">
        <f t="shared" ca="1" si="39"/>
        <v/>
      </c>
      <c r="P78" s="456" t="str">
        <f ca="1">IF(N(O78)&gt;0,VLOOKUP(O78,Hraci!$A$1:$I$1500,2,0),IF(TYPE(INDIRECT(ADDRESS(ROW() + $A$9-8 + (ROW()-11)*4,2,1,1,"Internet")))&gt;1,INDIRECT(ADDRESS(ROW() + $A$9-8 + (ROW()-11)*4,2,1,1,"Internet"))," "))</f>
        <v xml:space="preserve"> </v>
      </c>
      <c r="Q78" s="457" t="str">
        <f ca="1">IF(N(O78)&gt;0,VLOOKUP(O78,Hraci!$A$1:$I$1500,3,0)," ")</f>
        <v xml:space="preserve"> </v>
      </c>
      <c r="R78" s="457" t="str">
        <f ca="1">IF(N(O78)&gt;0,VLOOKUP(O78,Hraci!$A$1:$I$1500,5,0),IF(TYPE(INDIRECT(ADDRESS(ROW() + $A$9-8 + (ROW()-11)*4,3,1,1,"Internet")))&gt;1,INDIRECT(ADDRESS(ROW() + $A$9-8 + (ROW()-11)*4,3,1,1,"Internet"))," "))</f>
        <v xml:space="preserve"> </v>
      </c>
      <c r="S78" s="395">
        <f ca="1">IF(N(O78)=0,9999,VLOOKUP(O78,Hraci!$A$1:$I$1500,8,0))</f>
        <v>9999</v>
      </c>
      <c r="T78" s="458">
        <f ca="1">IF(N(O78)=0,0,VLOOKUP(O78,Hraci!$A$1:$I$1500,9,0))</f>
        <v>0</v>
      </c>
      <c r="U78" s="455" t="str">
        <f t="shared" ca="1" si="40"/>
        <v/>
      </c>
      <c r="V78" s="456" t="str">
        <f ca="1">IF(N(U78)&gt;0,VLOOKUP(U78,Hraci!$A$1:$I$1500,2,0),IF(TYPE(INDIRECT(ADDRESS(ROW() + $A$9-7 + (ROW()-11)*4,2,1,1,"Internet")))&gt;1,INDIRECT(ADDRESS(ROW() + $A$9-7 + (ROW()-11)*4,2,1,1,"Internet"))," "))</f>
        <v xml:space="preserve"> </v>
      </c>
      <c r="W78" s="457" t="str">
        <f ca="1">IF(N(U78)&gt;0,VLOOKUP(U78,Hraci!$A$1:$I$1500,3,0)," ")</f>
        <v xml:space="preserve"> </v>
      </c>
      <c r="X78" s="457" t="str">
        <f ca="1">IF(N(U78)&gt;0,VLOOKUP(U78,Hraci!$A$1:$I$1500,5,0),IF(TYPE(INDIRECT(ADDRESS(ROW() + $A$9-7 + (ROW()-11)*4,3,1,1,"Internet")))&gt;1,INDIRECT(ADDRESS(ROW() + $A$9-7 + (ROW()-11)*4,3,1,1,"Internet"))," "))</f>
        <v xml:space="preserve"> </v>
      </c>
      <c r="Y78" s="395">
        <f ca="1">IF(N(U78)=0,9999,VLOOKUP(U78,Hraci!$A$1:$I$1500,8,0))</f>
        <v>9999</v>
      </c>
      <c r="Z78" s="458">
        <f ca="1">IF(N(U78)=0,0,VLOOKUP(U78,Hraci!$A$1:$I$1500,9,0))</f>
        <v>0</v>
      </c>
      <c r="AA78" s="455" t="str">
        <f t="shared" ca="1" si="41"/>
        <v/>
      </c>
      <c r="AB78" s="456" t="str">
        <f ca="1">IF(N(AA78)&gt;0,VLOOKUP(AA78,Hraci!$A$1:$I$1500,2,0)," ")</f>
        <v xml:space="preserve"> </v>
      </c>
      <c r="AC78" s="457" t="str">
        <f ca="1">IF(N(AA78)&gt;0,VLOOKUP(AA78,Hraci!$A$1:$I$1500,3,0)," ")</f>
        <v xml:space="preserve"> </v>
      </c>
      <c r="AD78" s="457" t="str">
        <f ca="1">IF(N(AA78)&gt;0,VLOOKUP(AA78,Hraci!$A$1:$I$1500,5,0)," ")</f>
        <v xml:space="preserve"> </v>
      </c>
      <c r="AE78" s="395">
        <f ca="1">IF(N(AA78)=0,9999,VLOOKUP(AA78,Hraci!$A$1:$I$1500,8,0))</f>
        <v>9999</v>
      </c>
      <c r="AF78" s="458">
        <f ca="1">IF(N(AA78)=0,0,VLOOKUP(AA78,Hraci!$A$1:$I$1500,9,0))</f>
        <v>0</v>
      </c>
      <c r="AG78" s="459"/>
      <c r="AH78" s="465">
        <f ca="1">IF(TYPE(VLOOKUP(H78,Nasazení!$A$3:$E$130,5,0))&lt;4,VLOOKUP(H78,Nasazení!$A$3:$E$130,5,0),0)</f>
        <v>0</v>
      </c>
      <c r="AI78" s="460" t="str">
        <f ca="1">IF(N($AH78)&gt;0,VLOOKUP($AH78,Body!$A$4:$F$259,5,0),"")</f>
        <v/>
      </c>
      <c r="AJ78" s="461" t="str">
        <f ca="1">IF(N($AH78)&gt;0,VLOOKUP($AH78,Body!$A$4:$F$259,6,0),"")</f>
        <v/>
      </c>
      <c r="AK78" s="460" t="str">
        <f ca="1">IF(N($AH78)&gt;0,VLOOKUP($AH78,Body!$A$4:$F$259,2,0),"")</f>
        <v/>
      </c>
      <c r="AL78" s="462" t="str">
        <f t="shared" ca="1" si="42"/>
        <v/>
      </c>
      <c r="AM78" s="463">
        <f t="shared" ca="1" si="43"/>
        <v>0</v>
      </c>
      <c r="AN78" s="395">
        <f ca="1">IF(OR(TYPE(I78)&gt;1,TYPE(MATCH(I78,I79:I$139,0))&gt;1),0,MATCH(I78,I79:I$139,0))+IF(OR(TYPE(I78)&gt;1,TYPE(MATCH(I78,O$11:O$139,0))&gt;1),0,MATCH(I78,O$11:O$139,0))+IF(OR(TYPE(I78)&gt;1,TYPE(MATCH(I78,U$11:U$139,0))&gt;1),0,MATCH(I78,U$11:U$139,0))+IF(OR(TYPE(I78)&gt;1,TYPE(MATCH(I78,AA$11:AA$139,0))&gt;1),0,MATCH(I78,AA$11:AA$139,0))</f>
        <v>0</v>
      </c>
      <c r="AO78" s="395">
        <f ca="1">IF(OR(TYPE(O78)&gt;1,TYPE(MATCH(O78,I$11:I$139,0))&gt;1),0,MATCH(O78,I$11:I$139,0))+IF(OR(TYPE(O78)&gt;1,TYPE(MATCH(O78,O79:O$139,0))&gt;1),0,MATCH(O78,O79:O$139,0))+IF(OR(TYPE(O78)&gt;1,TYPE(MATCH(O78,U$11:U$139,0))&gt;1),0,MATCH(O78,U$11:U$139,0))+IF(OR(TYPE(O78)&gt;1,TYPE(MATCH(O78,AA$11:AA$139,0))&gt;1),0,MATCH(O78,AA$11:AA$139,0))</f>
        <v>0</v>
      </c>
      <c r="AP78" s="395">
        <f ca="1">IF(OR(TYPE(U78)&gt;1,TYPE(MATCH(U78,I$11:I$139,0))&gt;1),0,MATCH(U78,I$11:I$139,0))+IF(OR(TYPE(U78)&gt;1,TYPE(MATCH(U78,O$11:O$139,0))&gt;1),0,MATCH(U78,O$11:O$139,0))+IF(OR(TYPE(U78)&gt;1,TYPE(MATCH(U78,U79:U$139,0))&gt;1),0,MATCH(U78,U79:U$139,0))+IF(OR(TYPE(U78)&gt;1,TYPE(MATCH(U78,AA$11:AA$139,0))&gt;1),0,MATCH(U78,AA$11:AA$139,0))</f>
        <v>0</v>
      </c>
      <c r="AQ78" s="395">
        <f ca="1">IF(OR(TYPE(AA78)&gt;1,TYPE(MATCH(AA78,I$11:I$139,0))&gt;1),0,MATCH(AA78,I$11:I$139,0))+IF(OR(TYPE(AA78)&gt;1,TYPE(MATCH(AA78,O$11:O$139,0))&gt;1),0,MATCH(AA78,O$11:O$139,0))+IF(OR(TYPE(AA78)&gt;1,TYPE(MATCH(AA78,U$11:U$139,0))&gt;1),0,MATCH(U78,U$11:U$139,0))+IF(OR(TYPE(AA78)&gt;1,TYPE(MATCH(AA78,AA79:AA$139,0))&gt;1),0,MATCH(AA78,AA79:AA$139,0))</f>
        <v>0</v>
      </c>
      <c r="AR78" s="395">
        <f t="shared" ca="1" si="44"/>
        <v>0</v>
      </c>
      <c r="BF78" s="395">
        <f t="shared" si="45"/>
        <v>68</v>
      </c>
    </row>
    <row r="79" spans="1:58" ht="12.9">
      <c r="A79" s="387">
        <f t="shared" ca="1" si="30"/>
        <v>0</v>
      </c>
      <c r="B79" s="387">
        <f t="shared" ca="1" si="31"/>
        <v>0</v>
      </c>
      <c r="C79" s="387">
        <f t="shared" ca="1" si="32"/>
        <v>0</v>
      </c>
      <c r="D79" s="387">
        <f t="shared" ca="1" si="33"/>
        <v>99999</v>
      </c>
      <c r="E79" s="387">
        <f t="shared" ca="1" si="34"/>
        <v>9999</v>
      </c>
      <c r="F79" s="417" t="str">
        <f t="shared" ca="1" si="35"/>
        <v>00000000000000000000051211</v>
      </c>
      <c r="G79" s="453" t="b">
        <f t="shared" ca="1" si="36"/>
        <v>1</v>
      </c>
      <c r="H79" s="454">
        <f t="shared" si="37"/>
        <v>69</v>
      </c>
      <c r="I79" s="455" t="str">
        <f t="shared" ca="1" si="38"/>
        <v/>
      </c>
      <c r="J79" s="456" t="str">
        <f ca="1">IF(N(I79)&gt;0,VLOOKUP(I79,Hraci!$A$1:$I$1500,2,0),IF(TYPE(INDIRECT(ADDRESS(ROW() + $A$9-9 + (ROW()-11)*4,2,1,1,"Internet")))&gt;1,INDIRECT(ADDRESS(ROW() + $A$9-9 + (ROW()-11)*4,2,1,1,"Internet"))," "))</f>
        <v xml:space="preserve"> </v>
      </c>
      <c r="K79" s="457" t="str">
        <f ca="1">IF(N(I79)&gt;0,VLOOKUP(I79,Hraci!$A$1:$I$1500,3,0)," ")</f>
        <v xml:space="preserve"> </v>
      </c>
      <c r="L79" s="457" t="str">
        <f ca="1">IF(N(I79)&gt;0,VLOOKUP(I79,Hraci!$A$1:$I$1500,5,0),IF(TYPE(INDIRECT(ADDRESS(ROW() + $A$9-9 + (ROW()-11)*4,3,1,1,"Internet")))&gt;1,INDIRECT(ADDRESS(ROW() + $A$9-9 + (ROW()-11)*4,3,1,1,"Internet"))," "))</f>
        <v xml:space="preserve"> </v>
      </c>
      <c r="M79" s="395">
        <f ca="1">IF(N(I79)=0,9999,VLOOKUP(I79,Hraci!$A$1:$I$1500,8,0))</f>
        <v>9999</v>
      </c>
      <c r="N79" s="458">
        <f ca="1">IF(N(I79)=0,0,VLOOKUP(I79,Hraci!$A$1:$I$1500,9,0))</f>
        <v>0</v>
      </c>
      <c r="O79" s="455" t="str">
        <f t="shared" ca="1" si="39"/>
        <v/>
      </c>
      <c r="P79" s="456" t="str">
        <f ca="1">IF(N(O79)&gt;0,VLOOKUP(O79,Hraci!$A$1:$I$1500,2,0),IF(TYPE(INDIRECT(ADDRESS(ROW() + $A$9-8 + (ROW()-11)*4,2,1,1,"Internet")))&gt;1,INDIRECT(ADDRESS(ROW() + $A$9-8 + (ROW()-11)*4,2,1,1,"Internet"))," "))</f>
        <v xml:space="preserve"> </v>
      </c>
      <c r="Q79" s="457" t="str">
        <f ca="1">IF(N(O79)&gt;0,VLOOKUP(O79,Hraci!$A$1:$I$1500,3,0)," ")</f>
        <v xml:space="preserve"> </v>
      </c>
      <c r="R79" s="457" t="str">
        <f ca="1">IF(N(O79)&gt;0,VLOOKUP(O79,Hraci!$A$1:$I$1500,5,0),IF(TYPE(INDIRECT(ADDRESS(ROW() + $A$9-8 + (ROW()-11)*4,3,1,1,"Internet")))&gt;1,INDIRECT(ADDRESS(ROW() + $A$9-8 + (ROW()-11)*4,3,1,1,"Internet"))," "))</f>
        <v xml:space="preserve"> </v>
      </c>
      <c r="S79" s="395">
        <f ca="1">IF(N(O79)=0,9999,VLOOKUP(O79,Hraci!$A$1:$I$1500,8,0))</f>
        <v>9999</v>
      </c>
      <c r="T79" s="458">
        <f ca="1">IF(N(O79)=0,0,VLOOKUP(O79,Hraci!$A$1:$I$1500,9,0))</f>
        <v>0</v>
      </c>
      <c r="U79" s="455" t="str">
        <f t="shared" ca="1" si="40"/>
        <v/>
      </c>
      <c r="V79" s="456" t="str">
        <f ca="1">IF(N(U79)&gt;0,VLOOKUP(U79,Hraci!$A$1:$I$1500,2,0),IF(TYPE(INDIRECT(ADDRESS(ROW() + $A$9-7 + (ROW()-11)*4,2,1,1,"Internet")))&gt;1,INDIRECT(ADDRESS(ROW() + $A$9-7 + (ROW()-11)*4,2,1,1,"Internet"))," "))</f>
        <v xml:space="preserve"> </v>
      </c>
      <c r="W79" s="457" t="str">
        <f ca="1">IF(N(U79)&gt;0,VLOOKUP(U79,Hraci!$A$1:$I$1500,3,0)," ")</f>
        <v xml:space="preserve"> </v>
      </c>
      <c r="X79" s="457" t="str">
        <f ca="1">IF(N(U79)&gt;0,VLOOKUP(U79,Hraci!$A$1:$I$1500,5,0),IF(TYPE(INDIRECT(ADDRESS(ROW() + $A$9-7 + (ROW()-11)*4,3,1,1,"Internet")))&gt;1,INDIRECT(ADDRESS(ROW() + $A$9-7 + (ROW()-11)*4,3,1,1,"Internet"))," "))</f>
        <v xml:space="preserve"> </v>
      </c>
      <c r="Y79" s="395">
        <f ca="1">IF(N(U79)=0,9999,VLOOKUP(U79,Hraci!$A$1:$I$1500,8,0))</f>
        <v>9999</v>
      </c>
      <c r="Z79" s="458">
        <f ca="1">IF(N(U79)=0,0,VLOOKUP(U79,Hraci!$A$1:$I$1500,9,0))</f>
        <v>0</v>
      </c>
      <c r="AA79" s="455" t="str">
        <f t="shared" ca="1" si="41"/>
        <v/>
      </c>
      <c r="AB79" s="456" t="str">
        <f ca="1">IF(N(AA79)&gt;0,VLOOKUP(AA79,Hraci!$A$1:$I$1500,2,0)," ")</f>
        <v xml:space="preserve"> </v>
      </c>
      <c r="AC79" s="457" t="str">
        <f ca="1">IF(N(AA79)&gt;0,VLOOKUP(AA79,Hraci!$A$1:$I$1500,3,0)," ")</f>
        <v xml:space="preserve"> </v>
      </c>
      <c r="AD79" s="457" t="str">
        <f ca="1">IF(N(AA79)&gt;0,VLOOKUP(AA79,Hraci!$A$1:$I$1500,5,0)," ")</f>
        <v xml:space="preserve"> </v>
      </c>
      <c r="AE79" s="395">
        <f ca="1">IF(N(AA79)=0,9999,VLOOKUP(AA79,Hraci!$A$1:$I$1500,8,0))</f>
        <v>9999</v>
      </c>
      <c r="AF79" s="458">
        <f ca="1">IF(N(AA79)=0,0,VLOOKUP(AA79,Hraci!$A$1:$I$1500,9,0))</f>
        <v>0</v>
      </c>
      <c r="AG79" s="459"/>
      <c r="AH79" s="465">
        <f ca="1">IF(TYPE(VLOOKUP(H79,Nasazení!$A$3:$E$130,5,0))&lt;4,VLOOKUP(H79,Nasazení!$A$3:$E$130,5,0),0)</f>
        <v>0</v>
      </c>
      <c r="AI79" s="460" t="str">
        <f ca="1">IF(N($AH79)&gt;0,VLOOKUP($AH79,Body!$A$4:$F$259,5,0),"")</f>
        <v/>
      </c>
      <c r="AJ79" s="461" t="str">
        <f ca="1">IF(N($AH79)&gt;0,VLOOKUP($AH79,Body!$A$4:$F$259,6,0),"")</f>
        <v/>
      </c>
      <c r="AK79" s="460" t="str">
        <f ca="1">IF(N($AH79)&gt;0,VLOOKUP($AH79,Body!$A$4:$F$259,2,0),"")</f>
        <v/>
      </c>
      <c r="AL79" s="462" t="str">
        <f t="shared" ca="1" si="42"/>
        <v/>
      </c>
      <c r="AM79" s="463">
        <f t="shared" ca="1" si="43"/>
        <v>0</v>
      </c>
      <c r="AN79" s="395">
        <f ca="1">IF(OR(TYPE(I79)&gt;1,TYPE(MATCH(I79,I80:I$139,0))&gt;1),0,MATCH(I79,I80:I$139,0))+IF(OR(TYPE(I79)&gt;1,TYPE(MATCH(I79,O$11:O$139,0))&gt;1),0,MATCH(I79,O$11:O$139,0))+IF(OR(TYPE(I79)&gt;1,TYPE(MATCH(I79,U$11:U$139,0))&gt;1),0,MATCH(I79,U$11:U$139,0))+IF(OR(TYPE(I79)&gt;1,TYPE(MATCH(I79,AA$11:AA$139,0))&gt;1),0,MATCH(I79,AA$11:AA$139,0))</f>
        <v>0</v>
      </c>
      <c r="AO79" s="395">
        <f ca="1">IF(OR(TYPE(O79)&gt;1,TYPE(MATCH(O79,I$11:I$139,0))&gt;1),0,MATCH(O79,I$11:I$139,0))+IF(OR(TYPE(O79)&gt;1,TYPE(MATCH(O79,O80:O$139,0))&gt;1),0,MATCH(O79,O80:O$139,0))+IF(OR(TYPE(O79)&gt;1,TYPE(MATCH(O79,U$11:U$139,0))&gt;1),0,MATCH(O79,U$11:U$139,0))+IF(OR(TYPE(O79)&gt;1,TYPE(MATCH(O79,AA$11:AA$139,0))&gt;1),0,MATCH(O79,AA$11:AA$139,0))</f>
        <v>0</v>
      </c>
      <c r="AP79" s="395">
        <f ca="1">IF(OR(TYPE(U79)&gt;1,TYPE(MATCH(U79,I$11:I$139,0))&gt;1),0,MATCH(U79,I$11:I$139,0))+IF(OR(TYPE(U79)&gt;1,TYPE(MATCH(U79,O$11:O$139,0))&gt;1),0,MATCH(U79,O$11:O$139,0))+IF(OR(TYPE(U79)&gt;1,TYPE(MATCH(U79,U80:U$139,0))&gt;1),0,MATCH(U79,U80:U$139,0))+IF(OR(TYPE(U79)&gt;1,TYPE(MATCH(U79,AA$11:AA$139,0))&gt;1),0,MATCH(U79,AA$11:AA$139,0))</f>
        <v>0</v>
      </c>
      <c r="AQ79" s="395">
        <f ca="1">IF(OR(TYPE(AA79)&gt;1,TYPE(MATCH(AA79,I$11:I$139,0))&gt;1),0,MATCH(AA79,I$11:I$139,0))+IF(OR(TYPE(AA79)&gt;1,TYPE(MATCH(AA79,O$11:O$139,0))&gt;1),0,MATCH(AA79,O$11:O$139,0))+IF(OR(TYPE(AA79)&gt;1,TYPE(MATCH(AA79,U$11:U$139,0))&gt;1),0,MATCH(U79,U$11:U$139,0))+IF(OR(TYPE(AA79)&gt;1,TYPE(MATCH(AA79,AA80:AA$139,0))&gt;1),0,MATCH(AA79,AA80:AA$139,0))</f>
        <v>0</v>
      </c>
      <c r="AR79" s="395">
        <f t="shared" ca="1" si="44"/>
        <v>0</v>
      </c>
      <c r="BF79" s="395">
        <f t="shared" si="45"/>
        <v>69</v>
      </c>
    </row>
    <row r="80" spans="1:58" ht="12.9">
      <c r="A80" s="387">
        <f t="shared" ca="1" si="30"/>
        <v>0</v>
      </c>
      <c r="B80" s="387">
        <f t="shared" ca="1" si="31"/>
        <v>0</v>
      </c>
      <c r="C80" s="387">
        <f t="shared" ca="1" si="32"/>
        <v>0</v>
      </c>
      <c r="D80" s="387">
        <f t="shared" ca="1" si="33"/>
        <v>99999</v>
      </c>
      <c r="E80" s="387">
        <f t="shared" ca="1" si="34"/>
        <v>9999</v>
      </c>
      <c r="F80" s="417" t="str">
        <f t="shared" ca="1" si="35"/>
        <v>00000000000000000000117227</v>
      </c>
      <c r="G80" s="453" t="b">
        <f t="shared" ca="1" si="36"/>
        <v>1</v>
      </c>
      <c r="H80" s="454">
        <f t="shared" si="37"/>
        <v>70</v>
      </c>
      <c r="I80" s="455" t="str">
        <f t="shared" ca="1" si="38"/>
        <v/>
      </c>
      <c r="J80" s="456" t="str">
        <f ca="1">IF(N(I80)&gt;0,VLOOKUP(I80,Hraci!$A$1:$I$1500,2,0),IF(TYPE(INDIRECT(ADDRESS(ROW() + $A$9-9 + (ROW()-11)*4,2,1,1,"Internet")))&gt;1,INDIRECT(ADDRESS(ROW() + $A$9-9 + (ROW()-11)*4,2,1,1,"Internet"))," "))</f>
        <v xml:space="preserve"> </v>
      </c>
      <c r="K80" s="457" t="str">
        <f ca="1">IF(N(I80)&gt;0,VLOOKUP(I80,Hraci!$A$1:$I$1500,3,0)," ")</f>
        <v xml:space="preserve"> </v>
      </c>
      <c r="L80" s="457" t="str">
        <f ca="1">IF(N(I80)&gt;0,VLOOKUP(I80,Hraci!$A$1:$I$1500,5,0),IF(TYPE(INDIRECT(ADDRESS(ROW() + $A$9-9 + (ROW()-11)*4,3,1,1,"Internet")))&gt;1,INDIRECT(ADDRESS(ROW() + $A$9-9 + (ROW()-11)*4,3,1,1,"Internet"))," "))</f>
        <v xml:space="preserve"> </v>
      </c>
      <c r="M80" s="395">
        <f ca="1">IF(N(I80)=0,9999,VLOOKUP(I80,Hraci!$A$1:$I$1500,8,0))</f>
        <v>9999</v>
      </c>
      <c r="N80" s="458">
        <f ca="1">IF(N(I80)=0,0,VLOOKUP(I80,Hraci!$A$1:$I$1500,9,0))</f>
        <v>0</v>
      </c>
      <c r="O80" s="455" t="str">
        <f t="shared" ca="1" si="39"/>
        <v/>
      </c>
      <c r="P80" s="456" t="str">
        <f ca="1">IF(N(O80)&gt;0,VLOOKUP(O80,Hraci!$A$1:$I$1500,2,0),IF(TYPE(INDIRECT(ADDRESS(ROW() + $A$9-8 + (ROW()-11)*4,2,1,1,"Internet")))&gt;1,INDIRECT(ADDRESS(ROW() + $A$9-8 + (ROW()-11)*4,2,1,1,"Internet"))," "))</f>
        <v xml:space="preserve"> </v>
      </c>
      <c r="Q80" s="457" t="str">
        <f ca="1">IF(N(O80)&gt;0,VLOOKUP(O80,Hraci!$A$1:$I$1500,3,0)," ")</f>
        <v xml:space="preserve"> </v>
      </c>
      <c r="R80" s="457" t="str">
        <f ca="1">IF(N(O80)&gt;0,VLOOKUP(O80,Hraci!$A$1:$I$1500,5,0),IF(TYPE(INDIRECT(ADDRESS(ROW() + $A$9-8 + (ROW()-11)*4,3,1,1,"Internet")))&gt;1,INDIRECT(ADDRESS(ROW() + $A$9-8 + (ROW()-11)*4,3,1,1,"Internet"))," "))</f>
        <v xml:space="preserve"> </v>
      </c>
      <c r="S80" s="395">
        <f ca="1">IF(N(O80)=0,9999,VLOOKUP(O80,Hraci!$A$1:$I$1500,8,0))</f>
        <v>9999</v>
      </c>
      <c r="T80" s="458">
        <f ca="1">IF(N(O80)=0,0,VLOOKUP(O80,Hraci!$A$1:$I$1500,9,0))</f>
        <v>0</v>
      </c>
      <c r="U80" s="455" t="str">
        <f t="shared" ca="1" si="40"/>
        <v/>
      </c>
      <c r="V80" s="456" t="str">
        <f ca="1">IF(N(U80)&gt;0,VLOOKUP(U80,Hraci!$A$1:$I$1500,2,0),IF(TYPE(INDIRECT(ADDRESS(ROW() + $A$9-7 + (ROW()-11)*4,2,1,1,"Internet")))&gt;1,INDIRECT(ADDRESS(ROW() + $A$9-7 + (ROW()-11)*4,2,1,1,"Internet"))," "))</f>
        <v xml:space="preserve"> </v>
      </c>
      <c r="W80" s="457" t="str">
        <f ca="1">IF(N(U80)&gt;0,VLOOKUP(U80,Hraci!$A$1:$I$1500,3,0)," ")</f>
        <v xml:space="preserve"> </v>
      </c>
      <c r="X80" s="457" t="str">
        <f ca="1">IF(N(U80)&gt;0,VLOOKUP(U80,Hraci!$A$1:$I$1500,5,0),IF(TYPE(INDIRECT(ADDRESS(ROW() + $A$9-7 + (ROW()-11)*4,3,1,1,"Internet")))&gt;1,INDIRECT(ADDRESS(ROW() + $A$9-7 + (ROW()-11)*4,3,1,1,"Internet"))," "))</f>
        <v xml:space="preserve"> </v>
      </c>
      <c r="Y80" s="395">
        <f ca="1">IF(N(U80)=0,9999,VLOOKUP(U80,Hraci!$A$1:$I$1500,8,0))</f>
        <v>9999</v>
      </c>
      <c r="Z80" s="458">
        <f ca="1">IF(N(U80)=0,0,VLOOKUP(U80,Hraci!$A$1:$I$1500,9,0))</f>
        <v>0</v>
      </c>
      <c r="AA80" s="455" t="str">
        <f t="shared" ca="1" si="41"/>
        <v/>
      </c>
      <c r="AB80" s="456" t="str">
        <f ca="1">IF(N(AA80)&gt;0,VLOOKUP(AA80,Hraci!$A$1:$I$1500,2,0)," ")</f>
        <v xml:space="preserve"> </v>
      </c>
      <c r="AC80" s="457" t="str">
        <f ca="1">IF(N(AA80)&gt;0,VLOOKUP(AA80,Hraci!$A$1:$I$1500,3,0)," ")</f>
        <v xml:space="preserve"> </v>
      </c>
      <c r="AD80" s="457" t="str">
        <f ca="1">IF(N(AA80)&gt;0,VLOOKUP(AA80,Hraci!$A$1:$I$1500,5,0)," ")</f>
        <v xml:space="preserve"> </v>
      </c>
      <c r="AE80" s="395">
        <f ca="1">IF(N(AA80)=0,9999,VLOOKUP(AA80,Hraci!$A$1:$I$1500,8,0))</f>
        <v>9999</v>
      </c>
      <c r="AF80" s="458">
        <f ca="1">IF(N(AA80)=0,0,VLOOKUP(AA80,Hraci!$A$1:$I$1500,9,0))</f>
        <v>0</v>
      </c>
      <c r="AG80" s="459"/>
      <c r="AH80" s="465">
        <f ca="1">IF(TYPE(VLOOKUP(H80,Nasazení!$A$3:$E$130,5,0))&lt;4,VLOOKUP(H80,Nasazení!$A$3:$E$130,5,0),0)</f>
        <v>0</v>
      </c>
      <c r="AI80" s="460" t="str">
        <f ca="1">IF(N($AH80)&gt;0,VLOOKUP($AH80,Body!$A$4:$F$259,5,0),"")</f>
        <v/>
      </c>
      <c r="AJ80" s="461" t="str">
        <f ca="1">IF(N($AH80)&gt;0,VLOOKUP($AH80,Body!$A$4:$F$259,6,0),"")</f>
        <v/>
      </c>
      <c r="AK80" s="460" t="str">
        <f ca="1">IF(N($AH80)&gt;0,VLOOKUP($AH80,Body!$A$4:$F$259,2,0),"")</f>
        <v/>
      </c>
      <c r="AL80" s="462" t="str">
        <f t="shared" ca="1" si="42"/>
        <v/>
      </c>
      <c r="AM80" s="463">
        <f t="shared" ca="1" si="43"/>
        <v>0</v>
      </c>
      <c r="AN80" s="395">
        <f ca="1">IF(OR(TYPE(I80)&gt;1,TYPE(MATCH(I80,I81:I$139,0))&gt;1),0,MATCH(I80,I81:I$139,0))+IF(OR(TYPE(I80)&gt;1,TYPE(MATCH(I80,O$11:O$139,0))&gt;1),0,MATCH(I80,O$11:O$139,0))+IF(OR(TYPE(I80)&gt;1,TYPE(MATCH(I80,U$11:U$139,0))&gt;1),0,MATCH(I80,U$11:U$139,0))+IF(OR(TYPE(I80)&gt;1,TYPE(MATCH(I80,AA$11:AA$139,0))&gt;1),0,MATCH(I80,AA$11:AA$139,0))</f>
        <v>0</v>
      </c>
      <c r="AO80" s="395">
        <f ca="1">IF(OR(TYPE(O80)&gt;1,TYPE(MATCH(O80,I$11:I$139,0))&gt;1),0,MATCH(O80,I$11:I$139,0))+IF(OR(TYPE(O80)&gt;1,TYPE(MATCH(O80,O81:O$139,0))&gt;1),0,MATCH(O80,O81:O$139,0))+IF(OR(TYPE(O80)&gt;1,TYPE(MATCH(O80,U$11:U$139,0))&gt;1),0,MATCH(O80,U$11:U$139,0))+IF(OR(TYPE(O80)&gt;1,TYPE(MATCH(O80,AA$11:AA$139,0))&gt;1),0,MATCH(O80,AA$11:AA$139,0))</f>
        <v>0</v>
      </c>
      <c r="AP80" s="395">
        <f ca="1">IF(OR(TYPE(U80)&gt;1,TYPE(MATCH(U80,I$11:I$139,0))&gt;1),0,MATCH(U80,I$11:I$139,0))+IF(OR(TYPE(U80)&gt;1,TYPE(MATCH(U80,O$11:O$139,0))&gt;1),0,MATCH(U80,O$11:O$139,0))+IF(OR(TYPE(U80)&gt;1,TYPE(MATCH(U80,U81:U$139,0))&gt;1),0,MATCH(U80,U81:U$139,0))+IF(OR(TYPE(U80)&gt;1,TYPE(MATCH(U80,AA$11:AA$139,0))&gt;1),0,MATCH(U80,AA$11:AA$139,0))</f>
        <v>0</v>
      </c>
      <c r="AQ80" s="395">
        <f ca="1">IF(OR(TYPE(AA80)&gt;1,TYPE(MATCH(AA80,I$11:I$139,0))&gt;1),0,MATCH(AA80,I$11:I$139,0))+IF(OR(TYPE(AA80)&gt;1,TYPE(MATCH(AA80,O$11:O$139,0))&gt;1),0,MATCH(AA80,O$11:O$139,0))+IF(OR(TYPE(AA80)&gt;1,TYPE(MATCH(AA80,U$11:U$139,0))&gt;1),0,MATCH(U80,U$11:U$139,0))+IF(OR(TYPE(AA80)&gt;1,TYPE(MATCH(AA80,AA81:AA$139,0))&gt;1),0,MATCH(AA80,AA81:AA$139,0))</f>
        <v>0</v>
      </c>
      <c r="AR80" s="395">
        <f t="shared" ca="1" si="44"/>
        <v>0</v>
      </c>
      <c r="BF80" s="395">
        <f t="shared" si="45"/>
        <v>70</v>
      </c>
    </row>
    <row r="81" spans="1:58" ht="12.9">
      <c r="A81" s="387">
        <f t="shared" ca="1" si="30"/>
        <v>0</v>
      </c>
      <c r="B81" s="387">
        <f t="shared" ca="1" si="31"/>
        <v>0</v>
      </c>
      <c r="C81" s="387">
        <f t="shared" ca="1" si="32"/>
        <v>0</v>
      </c>
      <c r="D81" s="387">
        <f t="shared" ca="1" si="33"/>
        <v>99999</v>
      </c>
      <c r="E81" s="387">
        <f t="shared" ca="1" si="34"/>
        <v>9999</v>
      </c>
      <c r="F81" s="417" t="str">
        <f t="shared" ca="1" si="35"/>
        <v>00000000000000000000033316</v>
      </c>
      <c r="G81" s="453" t="b">
        <f t="shared" ca="1" si="36"/>
        <v>1</v>
      </c>
      <c r="H81" s="454">
        <f t="shared" si="37"/>
        <v>71</v>
      </c>
      <c r="I81" s="455" t="str">
        <f t="shared" ca="1" si="38"/>
        <v/>
      </c>
      <c r="J81" s="456" t="str">
        <f ca="1">IF(N(I81)&gt;0,VLOOKUP(I81,Hraci!$A$1:$I$1500,2,0),IF(TYPE(INDIRECT(ADDRESS(ROW() + $A$9-9 + (ROW()-11)*4,2,1,1,"Internet")))&gt;1,INDIRECT(ADDRESS(ROW() + $A$9-9 + (ROW()-11)*4,2,1,1,"Internet"))," "))</f>
        <v xml:space="preserve"> </v>
      </c>
      <c r="K81" s="457" t="str">
        <f ca="1">IF(N(I81)&gt;0,VLOOKUP(I81,Hraci!$A$1:$I$1500,3,0)," ")</f>
        <v xml:space="preserve"> </v>
      </c>
      <c r="L81" s="457" t="str">
        <f ca="1">IF(N(I81)&gt;0,VLOOKUP(I81,Hraci!$A$1:$I$1500,5,0),IF(TYPE(INDIRECT(ADDRESS(ROW() + $A$9-9 + (ROW()-11)*4,3,1,1,"Internet")))&gt;1,INDIRECT(ADDRESS(ROW() + $A$9-9 + (ROW()-11)*4,3,1,1,"Internet"))," "))</f>
        <v xml:space="preserve"> </v>
      </c>
      <c r="M81" s="395">
        <f ca="1">IF(N(I81)=0,9999,VLOOKUP(I81,Hraci!$A$1:$I$1500,8,0))</f>
        <v>9999</v>
      </c>
      <c r="N81" s="458">
        <f ca="1">IF(N(I81)=0,0,VLOOKUP(I81,Hraci!$A$1:$I$1500,9,0))</f>
        <v>0</v>
      </c>
      <c r="O81" s="455" t="str">
        <f t="shared" ca="1" si="39"/>
        <v/>
      </c>
      <c r="P81" s="456" t="str">
        <f ca="1">IF(N(O81)&gt;0,VLOOKUP(O81,Hraci!$A$1:$I$1500,2,0),IF(TYPE(INDIRECT(ADDRESS(ROW() + $A$9-8 + (ROW()-11)*4,2,1,1,"Internet")))&gt;1,INDIRECT(ADDRESS(ROW() + $A$9-8 + (ROW()-11)*4,2,1,1,"Internet"))," "))</f>
        <v xml:space="preserve"> </v>
      </c>
      <c r="Q81" s="457" t="str">
        <f ca="1">IF(N(O81)&gt;0,VLOOKUP(O81,Hraci!$A$1:$I$1500,3,0)," ")</f>
        <v xml:space="preserve"> </v>
      </c>
      <c r="R81" s="457" t="str">
        <f ca="1">IF(N(O81)&gt;0,VLOOKUP(O81,Hraci!$A$1:$I$1500,5,0),IF(TYPE(INDIRECT(ADDRESS(ROW() + $A$9-8 + (ROW()-11)*4,3,1,1,"Internet")))&gt;1,INDIRECT(ADDRESS(ROW() + $A$9-8 + (ROW()-11)*4,3,1,1,"Internet"))," "))</f>
        <v xml:space="preserve"> </v>
      </c>
      <c r="S81" s="395">
        <f ca="1">IF(N(O81)=0,9999,VLOOKUP(O81,Hraci!$A$1:$I$1500,8,0))</f>
        <v>9999</v>
      </c>
      <c r="T81" s="458">
        <f ca="1">IF(N(O81)=0,0,VLOOKUP(O81,Hraci!$A$1:$I$1500,9,0))</f>
        <v>0</v>
      </c>
      <c r="U81" s="455" t="str">
        <f t="shared" ca="1" si="40"/>
        <v/>
      </c>
      <c r="V81" s="456" t="str">
        <f ca="1">IF(N(U81)&gt;0,VLOOKUP(U81,Hraci!$A$1:$I$1500,2,0),IF(TYPE(INDIRECT(ADDRESS(ROW() + $A$9-7 + (ROW()-11)*4,2,1,1,"Internet")))&gt;1,INDIRECT(ADDRESS(ROW() + $A$9-7 + (ROW()-11)*4,2,1,1,"Internet"))," "))</f>
        <v xml:space="preserve"> </v>
      </c>
      <c r="W81" s="457" t="str">
        <f ca="1">IF(N(U81)&gt;0,VLOOKUP(U81,Hraci!$A$1:$I$1500,3,0)," ")</f>
        <v xml:space="preserve"> </v>
      </c>
      <c r="X81" s="457" t="str">
        <f ca="1">IF(N(U81)&gt;0,VLOOKUP(U81,Hraci!$A$1:$I$1500,5,0),IF(TYPE(INDIRECT(ADDRESS(ROW() + $A$9-7 + (ROW()-11)*4,3,1,1,"Internet")))&gt;1,INDIRECT(ADDRESS(ROW() + $A$9-7 + (ROW()-11)*4,3,1,1,"Internet"))," "))</f>
        <v xml:space="preserve"> </v>
      </c>
      <c r="Y81" s="395">
        <f ca="1">IF(N(U81)=0,9999,VLOOKUP(U81,Hraci!$A$1:$I$1500,8,0))</f>
        <v>9999</v>
      </c>
      <c r="Z81" s="458">
        <f ca="1">IF(N(U81)=0,0,VLOOKUP(U81,Hraci!$A$1:$I$1500,9,0))</f>
        <v>0</v>
      </c>
      <c r="AA81" s="455" t="str">
        <f t="shared" ca="1" si="41"/>
        <v/>
      </c>
      <c r="AB81" s="456" t="str">
        <f ca="1">IF(N(AA81)&gt;0,VLOOKUP(AA81,Hraci!$A$1:$I$1500,2,0)," ")</f>
        <v xml:space="preserve"> </v>
      </c>
      <c r="AC81" s="457" t="str">
        <f ca="1">IF(N(AA81)&gt;0,VLOOKUP(AA81,Hraci!$A$1:$I$1500,3,0)," ")</f>
        <v xml:space="preserve"> </v>
      </c>
      <c r="AD81" s="457" t="str">
        <f ca="1">IF(N(AA81)&gt;0,VLOOKUP(AA81,Hraci!$A$1:$I$1500,5,0)," ")</f>
        <v xml:space="preserve"> </v>
      </c>
      <c r="AE81" s="395">
        <f ca="1">IF(N(AA81)=0,9999,VLOOKUP(AA81,Hraci!$A$1:$I$1500,8,0))</f>
        <v>9999</v>
      </c>
      <c r="AF81" s="458">
        <f ca="1">IF(N(AA81)=0,0,VLOOKUP(AA81,Hraci!$A$1:$I$1500,9,0))</f>
        <v>0</v>
      </c>
      <c r="AG81" s="459"/>
      <c r="AH81" s="465">
        <f ca="1">IF(TYPE(VLOOKUP(H81,Nasazení!$A$3:$E$130,5,0))&lt;4,VLOOKUP(H81,Nasazení!$A$3:$E$130,5,0),0)</f>
        <v>0</v>
      </c>
      <c r="AI81" s="460" t="str">
        <f ca="1">IF(N($AH81)&gt;0,VLOOKUP($AH81,Body!$A$4:$F$259,5,0),"")</f>
        <v/>
      </c>
      <c r="AJ81" s="461" t="str">
        <f ca="1">IF(N($AH81)&gt;0,VLOOKUP($AH81,Body!$A$4:$F$259,6,0),"")</f>
        <v/>
      </c>
      <c r="AK81" s="460" t="str">
        <f ca="1">IF(N($AH81)&gt;0,VLOOKUP($AH81,Body!$A$4:$F$259,2,0),"")</f>
        <v/>
      </c>
      <c r="AL81" s="462" t="str">
        <f t="shared" ca="1" si="42"/>
        <v/>
      </c>
      <c r="AM81" s="463">
        <f t="shared" ca="1" si="43"/>
        <v>0</v>
      </c>
      <c r="AN81" s="395">
        <f ca="1">IF(OR(TYPE(I81)&gt;1,TYPE(MATCH(I81,I82:I$139,0))&gt;1),0,MATCH(I81,I82:I$139,0))+IF(OR(TYPE(I81)&gt;1,TYPE(MATCH(I81,O$11:O$139,0))&gt;1),0,MATCH(I81,O$11:O$139,0))+IF(OR(TYPE(I81)&gt;1,TYPE(MATCH(I81,U$11:U$139,0))&gt;1),0,MATCH(I81,U$11:U$139,0))+IF(OR(TYPE(I81)&gt;1,TYPE(MATCH(I81,AA$11:AA$139,0))&gt;1),0,MATCH(I81,AA$11:AA$139,0))</f>
        <v>0</v>
      </c>
      <c r="AO81" s="395">
        <f ca="1">IF(OR(TYPE(O81)&gt;1,TYPE(MATCH(O81,I$11:I$139,0))&gt;1),0,MATCH(O81,I$11:I$139,0))+IF(OR(TYPE(O81)&gt;1,TYPE(MATCH(O81,O82:O$139,0))&gt;1),0,MATCH(O81,O82:O$139,0))+IF(OR(TYPE(O81)&gt;1,TYPE(MATCH(O81,U$11:U$139,0))&gt;1),0,MATCH(O81,U$11:U$139,0))+IF(OR(TYPE(O81)&gt;1,TYPE(MATCH(O81,AA$11:AA$139,0))&gt;1),0,MATCH(O81,AA$11:AA$139,0))</f>
        <v>0</v>
      </c>
      <c r="AP81" s="395">
        <f ca="1">IF(OR(TYPE(U81)&gt;1,TYPE(MATCH(U81,I$11:I$139,0))&gt;1),0,MATCH(U81,I$11:I$139,0))+IF(OR(TYPE(U81)&gt;1,TYPE(MATCH(U81,O$11:O$139,0))&gt;1),0,MATCH(U81,O$11:O$139,0))+IF(OR(TYPE(U81)&gt;1,TYPE(MATCH(U81,U82:U$139,0))&gt;1),0,MATCH(U81,U82:U$139,0))+IF(OR(TYPE(U81)&gt;1,TYPE(MATCH(U81,AA$11:AA$139,0))&gt;1),0,MATCH(U81,AA$11:AA$139,0))</f>
        <v>0</v>
      </c>
      <c r="AQ81" s="395">
        <f ca="1">IF(OR(TYPE(AA81)&gt;1,TYPE(MATCH(AA81,I$11:I$139,0))&gt;1),0,MATCH(AA81,I$11:I$139,0))+IF(OR(TYPE(AA81)&gt;1,TYPE(MATCH(AA81,O$11:O$139,0))&gt;1),0,MATCH(AA81,O$11:O$139,0))+IF(OR(TYPE(AA81)&gt;1,TYPE(MATCH(AA81,U$11:U$139,0))&gt;1),0,MATCH(U81,U$11:U$139,0))+IF(OR(TYPE(AA81)&gt;1,TYPE(MATCH(AA81,AA82:AA$139,0))&gt;1),0,MATCH(AA81,AA82:AA$139,0))</f>
        <v>0</v>
      </c>
      <c r="AR81" s="395">
        <f t="shared" ca="1" si="44"/>
        <v>0</v>
      </c>
      <c r="BF81" s="395">
        <f t="shared" si="45"/>
        <v>71</v>
      </c>
    </row>
    <row r="82" spans="1:58" ht="12.9">
      <c r="A82" s="387">
        <f t="shared" ca="1" si="30"/>
        <v>0</v>
      </c>
      <c r="B82" s="387">
        <f t="shared" ca="1" si="31"/>
        <v>0</v>
      </c>
      <c r="C82" s="387">
        <f t="shared" ca="1" si="32"/>
        <v>0</v>
      </c>
      <c r="D82" s="387">
        <f t="shared" ca="1" si="33"/>
        <v>99999</v>
      </c>
      <c r="E82" s="387">
        <f t="shared" ca="1" si="34"/>
        <v>9999</v>
      </c>
      <c r="F82" s="417" t="str">
        <f t="shared" ca="1" si="35"/>
        <v>00000000000000000000762776</v>
      </c>
      <c r="G82" s="453" t="b">
        <f t="shared" ca="1" si="36"/>
        <v>1</v>
      </c>
      <c r="H82" s="454">
        <f t="shared" si="37"/>
        <v>72</v>
      </c>
      <c r="I82" s="455" t="str">
        <f t="shared" ca="1" si="38"/>
        <v/>
      </c>
      <c r="J82" s="456" t="str">
        <f ca="1">IF(N(I82)&gt;0,VLOOKUP(I82,Hraci!$A$1:$I$1500,2,0),IF(TYPE(INDIRECT(ADDRESS(ROW() + $A$9-9 + (ROW()-11)*4,2,1,1,"Internet")))&gt;1,INDIRECT(ADDRESS(ROW() + $A$9-9 + (ROW()-11)*4,2,1,1,"Internet"))," "))</f>
        <v xml:space="preserve"> </v>
      </c>
      <c r="K82" s="457" t="str">
        <f ca="1">IF(N(I82)&gt;0,VLOOKUP(I82,Hraci!$A$1:$I$1500,3,0)," ")</f>
        <v xml:space="preserve"> </v>
      </c>
      <c r="L82" s="457" t="str">
        <f ca="1">IF(N(I82)&gt;0,VLOOKUP(I82,Hraci!$A$1:$I$1500,5,0),IF(TYPE(INDIRECT(ADDRESS(ROW() + $A$9-9 + (ROW()-11)*4,3,1,1,"Internet")))&gt;1,INDIRECT(ADDRESS(ROW() + $A$9-9 + (ROW()-11)*4,3,1,1,"Internet"))," "))</f>
        <v xml:space="preserve"> </v>
      </c>
      <c r="M82" s="395">
        <f ca="1">IF(N(I82)=0,9999,VLOOKUP(I82,Hraci!$A$1:$I$1500,8,0))</f>
        <v>9999</v>
      </c>
      <c r="N82" s="458">
        <f ca="1">IF(N(I82)=0,0,VLOOKUP(I82,Hraci!$A$1:$I$1500,9,0))</f>
        <v>0</v>
      </c>
      <c r="O82" s="455" t="str">
        <f t="shared" ca="1" si="39"/>
        <v/>
      </c>
      <c r="P82" s="456" t="str">
        <f ca="1">IF(N(O82)&gt;0,VLOOKUP(O82,Hraci!$A$1:$I$1500,2,0),IF(TYPE(INDIRECT(ADDRESS(ROW() + $A$9-8 + (ROW()-11)*4,2,1,1,"Internet")))&gt;1,INDIRECT(ADDRESS(ROW() + $A$9-8 + (ROW()-11)*4,2,1,1,"Internet"))," "))</f>
        <v xml:space="preserve"> </v>
      </c>
      <c r="Q82" s="457" t="str">
        <f ca="1">IF(N(O82)&gt;0,VLOOKUP(O82,Hraci!$A$1:$I$1500,3,0)," ")</f>
        <v xml:space="preserve"> </v>
      </c>
      <c r="R82" s="457" t="str">
        <f ca="1">IF(N(O82)&gt;0,VLOOKUP(O82,Hraci!$A$1:$I$1500,5,0),IF(TYPE(INDIRECT(ADDRESS(ROW() + $A$9-8 + (ROW()-11)*4,3,1,1,"Internet")))&gt;1,INDIRECT(ADDRESS(ROW() + $A$9-8 + (ROW()-11)*4,3,1,1,"Internet"))," "))</f>
        <v xml:space="preserve"> </v>
      </c>
      <c r="S82" s="395">
        <f ca="1">IF(N(O82)=0,9999,VLOOKUP(O82,Hraci!$A$1:$I$1500,8,0))</f>
        <v>9999</v>
      </c>
      <c r="T82" s="458">
        <f ca="1">IF(N(O82)=0,0,VLOOKUP(O82,Hraci!$A$1:$I$1500,9,0))</f>
        <v>0</v>
      </c>
      <c r="U82" s="455" t="str">
        <f t="shared" ca="1" si="40"/>
        <v/>
      </c>
      <c r="V82" s="456" t="str">
        <f ca="1">IF(N(U82)&gt;0,VLOOKUP(U82,Hraci!$A$1:$I$1500,2,0),IF(TYPE(INDIRECT(ADDRESS(ROW() + $A$9-7 + (ROW()-11)*4,2,1,1,"Internet")))&gt;1,INDIRECT(ADDRESS(ROW() + $A$9-7 + (ROW()-11)*4,2,1,1,"Internet"))," "))</f>
        <v xml:space="preserve"> </v>
      </c>
      <c r="W82" s="457" t="str">
        <f ca="1">IF(N(U82)&gt;0,VLOOKUP(U82,Hraci!$A$1:$I$1500,3,0)," ")</f>
        <v xml:space="preserve"> </v>
      </c>
      <c r="X82" s="457" t="str">
        <f ca="1">IF(N(U82)&gt;0,VLOOKUP(U82,Hraci!$A$1:$I$1500,5,0),IF(TYPE(INDIRECT(ADDRESS(ROW() + $A$9-7 + (ROW()-11)*4,3,1,1,"Internet")))&gt;1,INDIRECT(ADDRESS(ROW() + $A$9-7 + (ROW()-11)*4,3,1,1,"Internet"))," "))</f>
        <v xml:space="preserve"> </v>
      </c>
      <c r="Y82" s="395">
        <f ca="1">IF(N(U82)=0,9999,VLOOKUP(U82,Hraci!$A$1:$I$1500,8,0))</f>
        <v>9999</v>
      </c>
      <c r="Z82" s="458">
        <f ca="1">IF(N(U82)=0,0,VLOOKUP(U82,Hraci!$A$1:$I$1500,9,0))</f>
        <v>0</v>
      </c>
      <c r="AA82" s="455" t="str">
        <f t="shared" ca="1" si="41"/>
        <v/>
      </c>
      <c r="AB82" s="456" t="str">
        <f ca="1">IF(N(AA82)&gt;0,VLOOKUP(AA82,Hraci!$A$1:$I$1500,2,0)," ")</f>
        <v xml:space="preserve"> </v>
      </c>
      <c r="AC82" s="457" t="str">
        <f ca="1">IF(N(AA82)&gt;0,VLOOKUP(AA82,Hraci!$A$1:$I$1500,3,0)," ")</f>
        <v xml:space="preserve"> </v>
      </c>
      <c r="AD82" s="457" t="str">
        <f ca="1">IF(N(AA82)&gt;0,VLOOKUP(AA82,Hraci!$A$1:$I$1500,5,0)," ")</f>
        <v xml:space="preserve"> </v>
      </c>
      <c r="AE82" s="395">
        <f ca="1">IF(N(AA82)=0,9999,VLOOKUP(AA82,Hraci!$A$1:$I$1500,8,0))</f>
        <v>9999</v>
      </c>
      <c r="AF82" s="458">
        <f ca="1">IF(N(AA82)=0,0,VLOOKUP(AA82,Hraci!$A$1:$I$1500,9,0))</f>
        <v>0</v>
      </c>
      <c r="AG82" s="459"/>
      <c r="AH82" s="465">
        <f ca="1">IF(TYPE(VLOOKUP(H82,Nasazení!$A$3:$E$130,5,0))&lt;4,VLOOKUP(H82,Nasazení!$A$3:$E$130,5,0),0)</f>
        <v>0</v>
      </c>
      <c r="AI82" s="460" t="str">
        <f ca="1">IF(N($AH82)&gt;0,VLOOKUP($AH82,Body!$A$4:$F$259,5,0),"")</f>
        <v/>
      </c>
      <c r="AJ82" s="461" t="str">
        <f ca="1">IF(N($AH82)&gt;0,VLOOKUP($AH82,Body!$A$4:$F$259,6,0),"")</f>
        <v/>
      </c>
      <c r="AK82" s="460" t="str">
        <f ca="1">IF(N($AH82)&gt;0,VLOOKUP($AH82,Body!$A$4:$F$259,2,0),"")</f>
        <v/>
      </c>
      <c r="AL82" s="462" t="str">
        <f t="shared" ca="1" si="42"/>
        <v/>
      </c>
      <c r="AM82" s="463">
        <f t="shared" ca="1" si="43"/>
        <v>0</v>
      </c>
      <c r="AN82" s="395">
        <f ca="1">IF(OR(TYPE(I82)&gt;1,TYPE(MATCH(I82,I83:I$139,0))&gt;1),0,MATCH(I82,I83:I$139,0))+IF(OR(TYPE(I82)&gt;1,TYPE(MATCH(I82,O$11:O$139,0))&gt;1),0,MATCH(I82,O$11:O$139,0))+IF(OR(TYPE(I82)&gt;1,TYPE(MATCH(I82,U$11:U$139,0))&gt;1),0,MATCH(I82,U$11:U$139,0))+IF(OR(TYPE(I82)&gt;1,TYPE(MATCH(I82,AA$11:AA$139,0))&gt;1),0,MATCH(I82,AA$11:AA$139,0))</f>
        <v>0</v>
      </c>
      <c r="AO82" s="395">
        <f ca="1">IF(OR(TYPE(O82)&gt;1,TYPE(MATCH(O82,I$11:I$139,0))&gt;1),0,MATCH(O82,I$11:I$139,0))+IF(OR(TYPE(O82)&gt;1,TYPE(MATCH(O82,O83:O$139,0))&gt;1),0,MATCH(O82,O83:O$139,0))+IF(OR(TYPE(O82)&gt;1,TYPE(MATCH(O82,U$11:U$139,0))&gt;1),0,MATCH(O82,U$11:U$139,0))+IF(OR(TYPE(O82)&gt;1,TYPE(MATCH(O82,AA$11:AA$139,0))&gt;1),0,MATCH(O82,AA$11:AA$139,0))</f>
        <v>0</v>
      </c>
      <c r="AP82" s="395">
        <f ca="1">IF(OR(TYPE(U82)&gt;1,TYPE(MATCH(U82,I$11:I$139,0))&gt;1),0,MATCH(U82,I$11:I$139,0))+IF(OR(TYPE(U82)&gt;1,TYPE(MATCH(U82,O$11:O$139,0))&gt;1),0,MATCH(U82,O$11:O$139,0))+IF(OR(TYPE(U82)&gt;1,TYPE(MATCH(U82,U83:U$139,0))&gt;1),0,MATCH(U82,U83:U$139,0))+IF(OR(TYPE(U82)&gt;1,TYPE(MATCH(U82,AA$11:AA$139,0))&gt;1),0,MATCH(U82,AA$11:AA$139,0))</f>
        <v>0</v>
      </c>
      <c r="AQ82" s="395">
        <f ca="1">IF(OR(TYPE(AA82)&gt;1,TYPE(MATCH(AA82,I$11:I$139,0))&gt;1),0,MATCH(AA82,I$11:I$139,0))+IF(OR(TYPE(AA82)&gt;1,TYPE(MATCH(AA82,O$11:O$139,0))&gt;1),0,MATCH(AA82,O$11:O$139,0))+IF(OR(TYPE(AA82)&gt;1,TYPE(MATCH(AA82,U$11:U$139,0))&gt;1),0,MATCH(U82,U$11:U$139,0))+IF(OR(TYPE(AA82)&gt;1,TYPE(MATCH(AA82,AA83:AA$139,0))&gt;1),0,MATCH(AA82,AA83:AA$139,0))</f>
        <v>0</v>
      </c>
      <c r="AR82" s="395">
        <f t="shared" ca="1" si="44"/>
        <v>0</v>
      </c>
      <c r="BF82" s="395">
        <f t="shared" si="45"/>
        <v>72</v>
      </c>
    </row>
    <row r="83" spans="1:58" ht="12.9">
      <c r="A83" s="387">
        <f t="shared" ca="1" si="30"/>
        <v>0</v>
      </c>
      <c r="B83" s="387">
        <f t="shared" ca="1" si="31"/>
        <v>0</v>
      </c>
      <c r="C83" s="387">
        <f t="shared" ca="1" si="32"/>
        <v>0</v>
      </c>
      <c r="D83" s="387">
        <f t="shared" ca="1" si="33"/>
        <v>99999</v>
      </c>
      <c r="E83" s="387">
        <f t="shared" ca="1" si="34"/>
        <v>9999</v>
      </c>
      <c r="F83" s="417" t="str">
        <f t="shared" ca="1" si="35"/>
        <v>00000000000000000000192779</v>
      </c>
      <c r="G83" s="453" t="b">
        <f t="shared" ca="1" si="36"/>
        <v>1</v>
      </c>
      <c r="H83" s="454">
        <f t="shared" si="37"/>
        <v>73</v>
      </c>
      <c r="I83" s="455" t="str">
        <f t="shared" ca="1" si="38"/>
        <v/>
      </c>
      <c r="J83" s="456" t="str">
        <f ca="1">IF(N(I83)&gt;0,VLOOKUP(I83,Hraci!$A$1:$I$1500,2,0),IF(TYPE(INDIRECT(ADDRESS(ROW() + $A$9-9 + (ROW()-11)*4,2,1,1,"Internet")))&gt;1,INDIRECT(ADDRESS(ROW() + $A$9-9 + (ROW()-11)*4,2,1,1,"Internet"))," "))</f>
        <v xml:space="preserve"> </v>
      </c>
      <c r="K83" s="457" t="str">
        <f ca="1">IF(N(I83)&gt;0,VLOOKUP(I83,Hraci!$A$1:$I$1500,3,0)," ")</f>
        <v xml:space="preserve"> </v>
      </c>
      <c r="L83" s="457" t="str">
        <f ca="1">IF(N(I83)&gt;0,VLOOKUP(I83,Hraci!$A$1:$I$1500,5,0),IF(TYPE(INDIRECT(ADDRESS(ROW() + $A$9-9 + (ROW()-11)*4,3,1,1,"Internet")))&gt;1,INDIRECT(ADDRESS(ROW() + $A$9-9 + (ROW()-11)*4,3,1,1,"Internet"))," "))</f>
        <v xml:space="preserve"> </v>
      </c>
      <c r="M83" s="395">
        <f ca="1">IF(N(I83)=0,9999,VLOOKUP(I83,Hraci!$A$1:$I$1500,8,0))</f>
        <v>9999</v>
      </c>
      <c r="N83" s="458">
        <f ca="1">IF(N(I83)=0,0,VLOOKUP(I83,Hraci!$A$1:$I$1500,9,0))</f>
        <v>0</v>
      </c>
      <c r="O83" s="455" t="str">
        <f t="shared" ca="1" si="39"/>
        <v/>
      </c>
      <c r="P83" s="456" t="str">
        <f ca="1">IF(N(O83)&gt;0,VLOOKUP(O83,Hraci!$A$1:$I$1500,2,0),IF(TYPE(INDIRECT(ADDRESS(ROW() + $A$9-8 + (ROW()-11)*4,2,1,1,"Internet")))&gt;1,INDIRECT(ADDRESS(ROW() + $A$9-8 + (ROW()-11)*4,2,1,1,"Internet"))," "))</f>
        <v xml:space="preserve"> </v>
      </c>
      <c r="Q83" s="457" t="str">
        <f ca="1">IF(N(O83)&gt;0,VLOOKUP(O83,Hraci!$A$1:$I$1500,3,0)," ")</f>
        <v xml:space="preserve"> </v>
      </c>
      <c r="R83" s="457" t="str">
        <f ca="1">IF(N(O83)&gt;0,VLOOKUP(O83,Hraci!$A$1:$I$1500,5,0),IF(TYPE(INDIRECT(ADDRESS(ROW() + $A$9-8 + (ROW()-11)*4,3,1,1,"Internet")))&gt;1,INDIRECT(ADDRESS(ROW() + $A$9-8 + (ROW()-11)*4,3,1,1,"Internet"))," "))</f>
        <v xml:space="preserve"> </v>
      </c>
      <c r="S83" s="395">
        <f ca="1">IF(N(O83)=0,9999,VLOOKUP(O83,Hraci!$A$1:$I$1500,8,0))</f>
        <v>9999</v>
      </c>
      <c r="T83" s="458">
        <f ca="1">IF(N(O83)=0,0,VLOOKUP(O83,Hraci!$A$1:$I$1500,9,0))</f>
        <v>0</v>
      </c>
      <c r="U83" s="455" t="str">
        <f t="shared" ca="1" si="40"/>
        <v/>
      </c>
      <c r="V83" s="456" t="str">
        <f ca="1">IF(N(U83)&gt;0,VLOOKUP(U83,Hraci!$A$1:$I$1500,2,0),IF(TYPE(INDIRECT(ADDRESS(ROW() + $A$9-7 + (ROW()-11)*4,2,1,1,"Internet")))&gt;1,INDIRECT(ADDRESS(ROW() + $A$9-7 + (ROW()-11)*4,2,1,1,"Internet"))," "))</f>
        <v xml:space="preserve"> </v>
      </c>
      <c r="W83" s="457" t="str">
        <f ca="1">IF(N(U83)&gt;0,VLOOKUP(U83,Hraci!$A$1:$I$1500,3,0)," ")</f>
        <v xml:space="preserve"> </v>
      </c>
      <c r="X83" s="457" t="str">
        <f ca="1">IF(N(U83)&gt;0,VLOOKUP(U83,Hraci!$A$1:$I$1500,5,0),IF(TYPE(INDIRECT(ADDRESS(ROW() + $A$9-7 + (ROW()-11)*4,3,1,1,"Internet")))&gt;1,INDIRECT(ADDRESS(ROW() + $A$9-7 + (ROW()-11)*4,3,1,1,"Internet"))," "))</f>
        <v xml:space="preserve"> </v>
      </c>
      <c r="Y83" s="395">
        <f ca="1">IF(N(U83)=0,9999,VLOOKUP(U83,Hraci!$A$1:$I$1500,8,0))</f>
        <v>9999</v>
      </c>
      <c r="Z83" s="458">
        <f ca="1">IF(N(U83)=0,0,VLOOKUP(U83,Hraci!$A$1:$I$1500,9,0))</f>
        <v>0</v>
      </c>
      <c r="AA83" s="455" t="str">
        <f t="shared" ca="1" si="41"/>
        <v/>
      </c>
      <c r="AB83" s="456" t="str">
        <f ca="1">IF(N(AA83)&gt;0,VLOOKUP(AA83,Hraci!$A$1:$I$1500,2,0)," ")</f>
        <v xml:space="preserve"> </v>
      </c>
      <c r="AC83" s="457" t="str">
        <f ca="1">IF(N(AA83)&gt;0,VLOOKUP(AA83,Hraci!$A$1:$I$1500,3,0)," ")</f>
        <v xml:space="preserve"> </v>
      </c>
      <c r="AD83" s="457" t="str">
        <f ca="1">IF(N(AA83)&gt;0,VLOOKUP(AA83,Hraci!$A$1:$I$1500,5,0)," ")</f>
        <v xml:space="preserve"> </v>
      </c>
      <c r="AE83" s="395">
        <f ca="1">IF(N(AA83)=0,9999,VLOOKUP(AA83,Hraci!$A$1:$I$1500,8,0))</f>
        <v>9999</v>
      </c>
      <c r="AF83" s="458">
        <f ca="1">IF(N(AA83)=0,0,VLOOKUP(AA83,Hraci!$A$1:$I$1500,9,0))</f>
        <v>0</v>
      </c>
      <c r="AG83" s="459"/>
      <c r="AH83" s="465">
        <f ca="1">IF(TYPE(VLOOKUP(H83,Nasazení!$A$3:$E$130,5,0))&lt;4,VLOOKUP(H83,Nasazení!$A$3:$E$130,5,0),0)</f>
        <v>0</v>
      </c>
      <c r="AI83" s="460" t="str">
        <f ca="1">IF(N($AH83)&gt;0,VLOOKUP($AH83,Body!$A$4:$F$259,5,0),"")</f>
        <v/>
      </c>
      <c r="AJ83" s="461" t="str">
        <f ca="1">IF(N($AH83)&gt;0,VLOOKUP($AH83,Body!$A$4:$F$259,6,0),"")</f>
        <v/>
      </c>
      <c r="AK83" s="460" t="str">
        <f ca="1">IF(N($AH83)&gt;0,VLOOKUP($AH83,Body!$A$4:$F$259,2,0),"")</f>
        <v/>
      </c>
      <c r="AL83" s="462" t="str">
        <f t="shared" ca="1" si="42"/>
        <v/>
      </c>
      <c r="AM83" s="463">
        <f t="shared" ca="1" si="43"/>
        <v>0</v>
      </c>
      <c r="AN83" s="395">
        <f ca="1">IF(OR(TYPE(I83)&gt;1,TYPE(MATCH(I83,I84:I$139,0))&gt;1),0,MATCH(I83,I84:I$139,0))+IF(OR(TYPE(I83)&gt;1,TYPE(MATCH(I83,O$11:O$139,0))&gt;1),0,MATCH(I83,O$11:O$139,0))+IF(OR(TYPE(I83)&gt;1,TYPE(MATCH(I83,U$11:U$139,0))&gt;1),0,MATCH(I83,U$11:U$139,0))+IF(OR(TYPE(I83)&gt;1,TYPE(MATCH(I83,AA$11:AA$139,0))&gt;1),0,MATCH(I83,AA$11:AA$139,0))</f>
        <v>0</v>
      </c>
      <c r="AO83" s="395">
        <f ca="1">IF(OR(TYPE(O83)&gt;1,TYPE(MATCH(O83,I$11:I$139,0))&gt;1),0,MATCH(O83,I$11:I$139,0))+IF(OR(TYPE(O83)&gt;1,TYPE(MATCH(O83,O84:O$139,0))&gt;1),0,MATCH(O83,O84:O$139,0))+IF(OR(TYPE(O83)&gt;1,TYPE(MATCH(O83,U$11:U$139,0))&gt;1),0,MATCH(O83,U$11:U$139,0))+IF(OR(TYPE(O83)&gt;1,TYPE(MATCH(O83,AA$11:AA$139,0))&gt;1),0,MATCH(O83,AA$11:AA$139,0))</f>
        <v>0</v>
      </c>
      <c r="AP83" s="395">
        <f ca="1">IF(OR(TYPE(U83)&gt;1,TYPE(MATCH(U83,I$11:I$139,0))&gt;1),0,MATCH(U83,I$11:I$139,0))+IF(OR(TYPE(U83)&gt;1,TYPE(MATCH(U83,O$11:O$139,0))&gt;1),0,MATCH(U83,O$11:O$139,0))+IF(OR(TYPE(U83)&gt;1,TYPE(MATCH(U83,U84:U$139,0))&gt;1),0,MATCH(U83,U84:U$139,0))+IF(OR(TYPE(U83)&gt;1,TYPE(MATCH(U83,AA$11:AA$139,0))&gt;1),0,MATCH(U83,AA$11:AA$139,0))</f>
        <v>0</v>
      </c>
      <c r="AQ83" s="395">
        <f ca="1">IF(OR(TYPE(AA83)&gt;1,TYPE(MATCH(AA83,I$11:I$139,0))&gt;1),0,MATCH(AA83,I$11:I$139,0))+IF(OR(TYPE(AA83)&gt;1,TYPE(MATCH(AA83,O$11:O$139,0))&gt;1),0,MATCH(AA83,O$11:O$139,0))+IF(OR(TYPE(AA83)&gt;1,TYPE(MATCH(AA83,U$11:U$139,0))&gt;1),0,MATCH(U83,U$11:U$139,0))+IF(OR(TYPE(AA83)&gt;1,TYPE(MATCH(AA83,AA84:AA$139,0))&gt;1),0,MATCH(AA83,AA84:AA$139,0))</f>
        <v>0</v>
      </c>
      <c r="AR83" s="395">
        <f t="shared" ca="1" si="44"/>
        <v>0</v>
      </c>
      <c r="BF83" s="395">
        <f t="shared" si="45"/>
        <v>73</v>
      </c>
    </row>
    <row r="84" spans="1:58" ht="12.9">
      <c r="A84" s="387">
        <f t="shared" ca="1" si="30"/>
        <v>0</v>
      </c>
      <c r="B84" s="387">
        <f t="shared" ca="1" si="31"/>
        <v>0</v>
      </c>
      <c r="C84" s="387">
        <f t="shared" ca="1" si="32"/>
        <v>0</v>
      </c>
      <c r="D84" s="387">
        <f t="shared" ca="1" si="33"/>
        <v>99999</v>
      </c>
      <c r="E84" s="387">
        <f t="shared" ca="1" si="34"/>
        <v>9999</v>
      </c>
      <c r="F84" s="417" t="str">
        <f t="shared" ca="1" si="35"/>
        <v>00000000000000000000005255</v>
      </c>
      <c r="G84" s="453" t="b">
        <f t="shared" ca="1" si="36"/>
        <v>1</v>
      </c>
      <c r="H84" s="454">
        <f t="shared" si="37"/>
        <v>74</v>
      </c>
      <c r="I84" s="455" t="str">
        <f t="shared" ca="1" si="38"/>
        <v/>
      </c>
      <c r="J84" s="456" t="str">
        <f ca="1">IF(N(I84)&gt;0,VLOOKUP(I84,Hraci!$A$1:$I$1500,2,0),IF(TYPE(INDIRECT(ADDRESS(ROW() + $A$9-9 + (ROW()-11)*4,2,1,1,"Internet")))&gt;1,INDIRECT(ADDRESS(ROW() + $A$9-9 + (ROW()-11)*4,2,1,1,"Internet"))," "))</f>
        <v xml:space="preserve"> </v>
      </c>
      <c r="K84" s="457" t="str">
        <f ca="1">IF(N(I84)&gt;0,VLOOKUP(I84,Hraci!$A$1:$I$1500,3,0)," ")</f>
        <v xml:space="preserve"> </v>
      </c>
      <c r="L84" s="457" t="str">
        <f ca="1">IF(N(I84)&gt;0,VLOOKUP(I84,Hraci!$A$1:$I$1500,5,0),IF(TYPE(INDIRECT(ADDRESS(ROW() + $A$9-9 + (ROW()-11)*4,3,1,1,"Internet")))&gt;1,INDIRECT(ADDRESS(ROW() + $A$9-9 + (ROW()-11)*4,3,1,1,"Internet"))," "))</f>
        <v xml:space="preserve"> </v>
      </c>
      <c r="M84" s="395">
        <f ca="1">IF(N(I84)=0,9999,VLOOKUP(I84,Hraci!$A$1:$I$1500,8,0))</f>
        <v>9999</v>
      </c>
      <c r="N84" s="458">
        <f ca="1">IF(N(I84)=0,0,VLOOKUP(I84,Hraci!$A$1:$I$1500,9,0))</f>
        <v>0</v>
      </c>
      <c r="O84" s="455" t="str">
        <f t="shared" ca="1" si="39"/>
        <v/>
      </c>
      <c r="P84" s="456" t="str">
        <f ca="1">IF(N(O84)&gt;0,VLOOKUP(O84,Hraci!$A$1:$I$1500,2,0),IF(TYPE(INDIRECT(ADDRESS(ROW() + $A$9-8 + (ROW()-11)*4,2,1,1,"Internet")))&gt;1,INDIRECT(ADDRESS(ROW() + $A$9-8 + (ROW()-11)*4,2,1,1,"Internet"))," "))</f>
        <v xml:space="preserve"> </v>
      </c>
      <c r="Q84" s="457" t="str">
        <f ca="1">IF(N(O84)&gt;0,VLOOKUP(O84,Hraci!$A$1:$I$1500,3,0)," ")</f>
        <v xml:space="preserve"> </v>
      </c>
      <c r="R84" s="457" t="str">
        <f ca="1">IF(N(O84)&gt;0,VLOOKUP(O84,Hraci!$A$1:$I$1500,5,0),IF(TYPE(INDIRECT(ADDRESS(ROW() + $A$9-8 + (ROW()-11)*4,3,1,1,"Internet")))&gt;1,INDIRECT(ADDRESS(ROW() + $A$9-8 + (ROW()-11)*4,3,1,1,"Internet"))," "))</f>
        <v xml:space="preserve"> </v>
      </c>
      <c r="S84" s="395">
        <f ca="1">IF(N(O84)=0,9999,VLOOKUP(O84,Hraci!$A$1:$I$1500,8,0))</f>
        <v>9999</v>
      </c>
      <c r="T84" s="458">
        <f ca="1">IF(N(O84)=0,0,VLOOKUP(O84,Hraci!$A$1:$I$1500,9,0))</f>
        <v>0</v>
      </c>
      <c r="U84" s="455" t="str">
        <f t="shared" ca="1" si="40"/>
        <v/>
      </c>
      <c r="V84" s="456" t="str">
        <f ca="1">IF(N(U84)&gt;0,VLOOKUP(U84,Hraci!$A$1:$I$1500,2,0),IF(TYPE(INDIRECT(ADDRESS(ROW() + $A$9-7 + (ROW()-11)*4,2,1,1,"Internet")))&gt;1,INDIRECT(ADDRESS(ROW() + $A$9-7 + (ROW()-11)*4,2,1,1,"Internet"))," "))</f>
        <v xml:space="preserve"> </v>
      </c>
      <c r="W84" s="457" t="str">
        <f ca="1">IF(N(U84)&gt;0,VLOOKUP(U84,Hraci!$A$1:$I$1500,3,0)," ")</f>
        <v xml:space="preserve"> </v>
      </c>
      <c r="X84" s="457" t="str">
        <f ca="1">IF(N(U84)&gt;0,VLOOKUP(U84,Hraci!$A$1:$I$1500,5,0),IF(TYPE(INDIRECT(ADDRESS(ROW() + $A$9-7 + (ROW()-11)*4,3,1,1,"Internet")))&gt;1,INDIRECT(ADDRESS(ROW() + $A$9-7 + (ROW()-11)*4,3,1,1,"Internet"))," "))</f>
        <v xml:space="preserve"> </v>
      </c>
      <c r="Y84" s="395">
        <f ca="1">IF(N(U84)=0,9999,VLOOKUP(U84,Hraci!$A$1:$I$1500,8,0))</f>
        <v>9999</v>
      </c>
      <c r="Z84" s="458">
        <f ca="1">IF(N(U84)=0,0,VLOOKUP(U84,Hraci!$A$1:$I$1500,9,0))</f>
        <v>0</v>
      </c>
      <c r="AA84" s="455" t="str">
        <f t="shared" ca="1" si="41"/>
        <v/>
      </c>
      <c r="AB84" s="456" t="str">
        <f ca="1">IF(N(AA84)&gt;0,VLOOKUP(AA84,Hraci!$A$1:$I$1500,2,0)," ")</f>
        <v xml:space="preserve"> </v>
      </c>
      <c r="AC84" s="457" t="str">
        <f ca="1">IF(N(AA84)&gt;0,VLOOKUP(AA84,Hraci!$A$1:$I$1500,3,0)," ")</f>
        <v xml:space="preserve"> </v>
      </c>
      <c r="AD84" s="457" t="str">
        <f ca="1">IF(N(AA84)&gt;0,VLOOKUP(AA84,Hraci!$A$1:$I$1500,5,0)," ")</f>
        <v xml:space="preserve"> </v>
      </c>
      <c r="AE84" s="395">
        <f ca="1">IF(N(AA84)=0,9999,VLOOKUP(AA84,Hraci!$A$1:$I$1500,8,0))</f>
        <v>9999</v>
      </c>
      <c r="AF84" s="458">
        <f ca="1">IF(N(AA84)=0,0,VLOOKUP(AA84,Hraci!$A$1:$I$1500,9,0))</f>
        <v>0</v>
      </c>
      <c r="AG84" s="459"/>
      <c r="AH84" s="465">
        <f ca="1">IF(TYPE(VLOOKUP(H84,Nasazení!$A$3:$E$130,5,0))&lt;4,VLOOKUP(H84,Nasazení!$A$3:$E$130,5,0),0)</f>
        <v>0</v>
      </c>
      <c r="AI84" s="460" t="str">
        <f ca="1">IF(N($AH84)&gt;0,VLOOKUP($AH84,Body!$A$4:$F$259,5,0),"")</f>
        <v/>
      </c>
      <c r="AJ84" s="461" t="str">
        <f ca="1">IF(N($AH84)&gt;0,VLOOKUP($AH84,Body!$A$4:$F$259,6,0),"")</f>
        <v/>
      </c>
      <c r="AK84" s="460" t="str">
        <f ca="1">IF(N($AH84)&gt;0,VLOOKUP($AH84,Body!$A$4:$F$259,2,0),"")</f>
        <v/>
      </c>
      <c r="AL84" s="462" t="str">
        <f t="shared" ca="1" si="42"/>
        <v/>
      </c>
      <c r="AM84" s="463">
        <f t="shared" ca="1" si="43"/>
        <v>0</v>
      </c>
      <c r="AN84" s="395">
        <f ca="1">IF(OR(TYPE(I84)&gt;1,TYPE(MATCH(I84,I85:I$139,0))&gt;1),0,MATCH(I84,I85:I$139,0))+IF(OR(TYPE(I84)&gt;1,TYPE(MATCH(I84,O$11:O$139,0))&gt;1),0,MATCH(I84,O$11:O$139,0))+IF(OR(TYPE(I84)&gt;1,TYPE(MATCH(I84,U$11:U$139,0))&gt;1),0,MATCH(I84,U$11:U$139,0))+IF(OR(TYPE(I84)&gt;1,TYPE(MATCH(I84,AA$11:AA$139,0))&gt;1),0,MATCH(I84,AA$11:AA$139,0))</f>
        <v>0</v>
      </c>
      <c r="AO84" s="395">
        <f ca="1">IF(OR(TYPE(O84)&gt;1,TYPE(MATCH(O84,I$11:I$139,0))&gt;1),0,MATCH(O84,I$11:I$139,0))+IF(OR(TYPE(O84)&gt;1,TYPE(MATCH(O84,O85:O$139,0))&gt;1),0,MATCH(O84,O85:O$139,0))+IF(OR(TYPE(O84)&gt;1,TYPE(MATCH(O84,U$11:U$139,0))&gt;1),0,MATCH(O84,U$11:U$139,0))+IF(OR(TYPE(O84)&gt;1,TYPE(MATCH(O84,AA$11:AA$139,0))&gt;1),0,MATCH(O84,AA$11:AA$139,0))</f>
        <v>0</v>
      </c>
      <c r="AP84" s="395">
        <f ca="1">IF(OR(TYPE(U84)&gt;1,TYPE(MATCH(U84,I$11:I$139,0))&gt;1),0,MATCH(U84,I$11:I$139,0))+IF(OR(TYPE(U84)&gt;1,TYPE(MATCH(U84,O$11:O$139,0))&gt;1),0,MATCH(U84,O$11:O$139,0))+IF(OR(TYPE(U84)&gt;1,TYPE(MATCH(U84,U85:U$139,0))&gt;1),0,MATCH(U84,U85:U$139,0))+IF(OR(TYPE(U84)&gt;1,TYPE(MATCH(U84,AA$11:AA$139,0))&gt;1),0,MATCH(U84,AA$11:AA$139,0))</f>
        <v>0</v>
      </c>
      <c r="AQ84" s="395">
        <f ca="1">IF(OR(TYPE(AA84)&gt;1,TYPE(MATCH(AA84,I$11:I$139,0))&gt;1),0,MATCH(AA84,I$11:I$139,0))+IF(OR(TYPE(AA84)&gt;1,TYPE(MATCH(AA84,O$11:O$139,0))&gt;1),0,MATCH(AA84,O$11:O$139,0))+IF(OR(TYPE(AA84)&gt;1,TYPE(MATCH(AA84,U$11:U$139,0))&gt;1),0,MATCH(U84,U$11:U$139,0))+IF(OR(TYPE(AA84)&gt;1,TYPE(MATCH(AA84,AA85:AA$139,0))&gt;1),0,MATCH(AA84,AA85:AA$139,0))</f>
        <v>0</v>
      </c>
      <c r="AR84" s="395">
        <f t="shared" ca="1" si="44"/>
        <v>0</v>
      </c>
      <c r="BF84" s="395">
        <f t="shared" si="45"/>
        <v>74</v>
      </c>
    </row>
    <row r="85" spans="1:58" ht="12.9">
      <c r="A85" s="387">
        <f t="shared" ca="1" si="30"/>
        <v>0</v>
      </c>
      <c r="B85" s="387">
        <f t="shared" ca="1" si="31"/>
        <v>0</v>
      </c>
      <c r="C85" s="387">
        <f t="shared" ca="1" si="32"/>
        <v>0</v>
      </c>
      <c r="D85" s="387">
        <f t="shared" ca="1" si="33"/>
        <v>99999</v>
      </c>
      <c r="E85" s="387">
        <f t="shared" ca="1" si="34"/>
        <v>9999</v>
      </c>
      <c r="F85" s="417" t="str">
        <f t="shared" ca="1" si="35"/>
        <v>00000000000000000000381697</v>
      </c>
      <c r="G85" s="453" t="b">
        <f t="shared" ca="1" si="36"/>
        <v>1</v>
      </c>
      <c r="H85" s="454">
        <f t="shared" si="37"/>
        <v>75</v>
      </c>
      <c r="I85" s="455" t="str">
        <f t="shared" ca="1" si="38"/>
        <v/>
      </c>
      <c r="J85" s="456" t="str">
        <f ca="1">IF(N(I85)&gt;0,VLOOKUP(I85,Hraci!$A$1:$I$1500,2,0),IF(TYPE(INDIRECT(ADDRESS(ROW() + $A$9-9 + (ROW()-11)*4,2,1,1,"Internet")))&gt;1,INDIRECT(ADDRESS(ROW() + $A$9-9 + (ROW()-11)*4,2,1,1,"Internet"))," "))</f>
        <v xml:space="preserve"> </v>
      </c>
      <c r="K85" s="457" t="str">
        <f ca="1">IF(N(I85)&gt;0,VLOOKUP(I85,Hraci!$A$1:$I$1500,3,0)," ")</f>
        <v xml:space="preserve"> </v>
      </c>
      <c r="L85" s="457" t="str">
        <f ca="1">IF(N(I85)&gt;0,VLOOKUP(I85,Hraci!$A$1:$I$1500,5,0),IF(TYPE(INDIRECT(ADDRESS(ROW() + $A$9-9 + (ROW()-11)*4,3,1,1,"Internet")))&gt;1,INDIRECT(ADDRESS(ROW() + $A$9-9 + (ROW()-11)*4,3,1,1,"Internet"))," "))</f>
        <v xml:space="preserve"> </v>
      </c>
      <c r="M85" s="395">
        <f ca="1">IF(N(I85)=0,9999,VLOOKUP(I85,Hraci!$A$1:$I$1500,8,0))</f>
        <v>9999</v>
      </c>
      <c r="N85" s="458">
        <f ca="1">IF(N(I85)=0,0,VLOOKUP(I85,Hraci!$A$1:$I$1500,9,0))</f>
        <v>0</v>
      </c>
      <c r="O85" s="455" t="str">
        <f t="shared" ca="1" si="39"/>
        <v/>
      </c>
      <c r="P85" s="456" t="str">
        <f ca="1">IF(N(O85)&gt;0,VLOOKUP(O85,Hraci!$A$1:$I$1500,2,0),IF(TYPE(INDIRECT(ADDRESS(ROW() + $A$9-8 + (ROW()-11)*4,2,1,1,"Internet")))&gt;1,INDIRECT(ADDRESS(ROW() + $A$9-8 + (ROW()-11)*4,2,1,1,"Internet"))," "))</f>
        <v xml:space="preserve"> </v>
      </c>
      <c r="Q85" s="457" t="str">
        <f ca="1">IF(N(O85)&gt;0,VLOOKUP(O85,Hraci!$A$1:$I$1500,3,0)," ")</f>
        <v xml:space="preserve"> </v>
      </c>
      <c r="R85" s="457" t="str">
        <f ca="1">IF(N(O85)&gt;0,VLOOKUP(O85,Hraci!$A$1:$I$1500,5,0),IF(TYPE(INDIRECT(ADDRESS(ROW() + $A$9-8 + (ROW()-11)*4,3,1,1,"Internet")))&gt;1,INDIRECT(ADDRESS(ROW() + $A$9-8 + (ROW()-11)*4,3,1,1,"Internet"))," "))</f>
        <v xml:space="preserve"> </v>
      </c>
      <c r="S85" s="395">
        <f ca="1">IF(N(O85)=0,9999,VLOOKUP(O85,Hraci!$A$1:$I$1500,8,0))</f>
        <v>9999</v>
      </c>
      <c r="T85" s="458">
        <f ca="1">IF(N(O85)=0,0,VLOOKUP(O85,Hraci!$A$1:$I$1500,9,0))</f>
        <v>0</v>
      </c>
      <c r="U85" s="455" t="str">
        <f t="shared" ca="1" si="40"/>
        <v/>
      </c>
      <c r="V85" s="456" t="str">
        <f ca="1">IF(N(U85)&gt;0,VLOOKUP(U85,Hraci!$A$1:$I$1500,2,0),IF(TYPE(INDIRECT(ADDRESS(ROW() + $A$9-7 + (ROW()-11)*4,2,1,1,"Internet")))&gt;1,INDIRECT(ADDRESS(ROW() + $A$9-7 + (ROW()-11)*4,2,1,1,"Internet"))," "))</f>
        <v xml:space="preserve"> </v>
      </c>
      <c r="W85" s="457" t="str">
        <f ca="1">IF(N(U85)&gt;0,VLOOKUP(U85,Hraci!$A$1:$I$1500,3,0)," ")</f>
        <v xml:space="preserve"> </v>
      </c>
      <c r="X85" s="457" t="str">
        <f ca="1">IF(N(U85)&gt;0,VLOOKUP(U85,Hraci!$A$1:$I$1500,5,0),IF(TYPE(INDIRECT(ADDRESS(ROW() + $A$9-7 + (ROW()-11)*4,3,1,1,"Internet")))&gt;1,INDIRECT(ADDRESS(ROW() + $A$9-7 + (ROW()-11)*4,3,1,1,"Internet"))," "))</f>
        <v xml:space="preserve"> </v>
      </c>
      <c r="Y85" s="395">
        <f ca="1">IF(N(U85)=0,9999,VLOOKUP(U85,Hraci!$A$1:$I$1500,8,0))</f>
        <v>9999</v>
      </c>
      <c r="Z85" s="458">
        <f ca="1">IF(N(U85)=0,0,VLOOKUP(U85,Hraci!$A$1:$I$1500,9,0))</f>
        <v>0</v>
      </c>
      <c r="AA85" s="455" t="str">
        <f t="shared" ca="1" si="41"/>
        <v/>
      </c>
      <c r="AB85" s="456" t="str">
        <f ca="1">IF(N(AA85)&gt;0,VLOOKUP(AA85,Hraci!$A$1:$I$1500,2,0)," ")</f>
        <v xml:space="preserve"> </v>
      </c>
      <c r="AC85" s="457" t="str">
        <f ca="1">IF(N(AA85)&gt;0,VLOOKUP(AA85,Hraci!$A$1:$I$1500,3,0)," ")</f>
        <v xml:space="preserve"> </v>
      </c>
      <c r="AD85" s="457" t="str">
        <f ca="1">IF(N(AA85)&gt;0,VLOOKUP(AA85,Hraci!$A$1:$I$1500,5,0)," ")</f>
        <v xml:space="preserve"> </v>
      </c>
      <c r="AE85" s="395">
        <f ca="1">IF(N(AA85)=0,9999,VLOOKUP(AA85,Hraci!$A$1:$I$1500,8,0))</f>
        <v>9999</v>
      </c>
      <c r="AF85" s="458">
        <f ca="1">IF(N(AA85)=0,0,VLOOKUP(AA85,Hraci!$A$1:$I$1500,9,0))</f>
        <v>0</v>
      </c>
      <c r="AG85" s="459"/>
      <c r="AH85" s="465">
        <f ca="1">IF(TYPE(VLOOKUP(H85,Nasazení!$A$3:$E$130,5,0))&lt;4,VLOOKUP(H85,Nasazení!$A$3:$E$130,5,0),0)</f>
        <v>0</v>
      </c>
      <c r="AI85" s="460" t="str">
        <f ca="1">IF(N($AH85)&gt;0,VLOOKUP($AH85,Body!$A$4:$F$259,5,0),"")</f>
        <v/>
      </c>
      <c r="AJ85" s="461" t="str">
        <f ca="1">IF(N($AH85)&gt;0,VLOOKUP($AH85,Body!$A$4:$F$259,6,0),"")</f>
        <v/>
      </c>
      <c r="AK85" s="460" t="str">
        <f ca="1">IF(N($AH85)&gt;0,VLOOKUP($AH85,Body!$A$4:$F$259,2,0),"")</f>
        <v/>
      </c>
      <c r="AL85" s="462" t="str">
        <f t="shared" ca="1" si="42"/>
        <v/>
      </c>
      <c r="AM85" s="463">
        <f t="shared" ca="1" si="43"/>
        <v>0</v>
      </c>
      <c r="AN85" s="395">
        <f ca="1">IF(OR(TYPE(I85)&gt;1,TYPE(MATCH(I85,I86:I$139,0))&gt;1),0,MATCH(I85,I86:I$139,0))+IF(OR(TYPE(I85)&gt;1,TYPE(MATCH(I85,O$11:O$139,0))&gt;1),0,MATCH(I85,O$11:O$139,0))+IF(OR(TYPE(I85)&gt;1,TYPE(MATCH(I85,U$11:U$139,0))&gt;1),0,MATCH(I85,U$11:U$139,0))+IF(OR(TYPE(I85)&gt;1,TYPE(MATCH(I85,AA$11:AA$139,0))&gt;1),0,MATCH(I85,AA$11:AA$139,0))</f>
        <v>0</v>
      </c>
      <c r="AO85" s="395">
        <f ca="1">IF(OR(TYPE(O85)&gt;1,TYPE(MATCH(O85,I$11:I$139,0))&gt;1),0,MATCH(O85,I$11:I$139,0))+IF(OR(TYPE(O85)&gt;1,TYPE(MATCH(O85,O86:O$139,0))&gt;1),0,MATCH(O85,O86:O$139,0))+IF(OR(TYPE(O85)&gt;1,TYPE(MATCH(O85,U$11:U$139,0))&gt;1),0,MATCH(O85,U$11:U$139,0))+IF(OR(TYPE(O85)&gt;1,TYPE(MATCH(O85,AA$11:AA$139,0))&gt;1),0,MATCH(O85,AA$11:AA$139,0))</f>
        <v>0</v>
      </c>
      <c r="AP85" s="395">
        <f ca="1">IF(OR(TYPE(U85)&gt;1,TYPE(MATCH(U85,I$11:I$139,0))&gt;1),0,MATCH(U85,I$11:I$139,0))+IF(OR(TYPE(U85)&gt;1,TYPE(MATCH(U85,O$11:O$139,0))&gt;1),0,MATCH(U85,O$11:O$139,0))+IF(OR(TYPE(U85)&gt;1,TYPE(MATCH(U85,U86:U$139,0))&gt;1),0,MATCH(U85,U86:U$139,0))+IF(OR(TYPE(U85)&gt;1,TYPE(MATCH(U85,AA$11:AA$139,0))&gt;1),0,MATCH(U85,AA$11:AA$139,0))</f>
        <v>0</v>
      </c>
      <c r="AQ85" s="395">
        <f ca="1">IF(OR(TYPE(AA85)&gt;1,TYPE(MATCH(AA85,I$11:I$139,0))&gt;1),0,MATCH(AA85,I$11:I$139,0))+IF(OR(TYPE(AA85)&gt;1,TYPE(MATCH(AA85,O$11:O$139,0))&gt;1),0,MATCH(AA85,O$11:O$139,0))+IF(OR(TYPE(AA85)&gt;1,TYPE(MATCH(AA85,U$11:U$139,0))&gt;1),0,MATCH(U85,U$11:U$139,0))+IF(OR(TYPE(AA85)&gt;1,TYPE(MATCH(AA85,AA86:AA$139,0))&gt;1),0,MATCH(AA85,AA86:AA$139,0))</f>
        <v>0</v>
      </c>
      <c r="AR85" s="395">
        <f t="shared" ca="1" si="44"/>
        <v>0</v>
      </c>
      <c r="BF85" s="395">
        <f t="shared" si="45"/>
        <v>75</v>
      </c>
    </row>
    <row r="86" spans="1:58" ht="12.9">
      <c r="A86" s="387">
        <f t="shared" ca="1" si="30"/>
        <v>0</v>
      </c>
      <c r="B86" s="387">
        <f t="shared" ca="1" si="31"/>
        <v>0</v>
      </c>
      <c r="C86" s="387">
        <f t="shared" ca="1" si="32"/>
        <v>0</v>
      </c>
      <c r="D86" s="387">
        <f t="shared" ca="1" si="33"/>
        <v>99999</v>
      </c>
      <c r="E86" s="387">
        <f t="shared" ca="1" si="34"/>
        <v>9999</v>
      </c>
      <c r="F86" s="417" t="str">
        <f t="shared" ca="1" si="35"/>
        <v>00000000000000000000247441</v>
      </c>
      <c r="G86" s="453" t="b">
        <f t="shared" ca="1" si="36"/>
        <v>1</v>
      </c>
      <c r="H86" s="454">
        <f t="shared" si="37"/>
        <v>76</v>
      </c>
      <c r="I86" s="455" t="str">
        <f t="shared" ca="1" si="38"/>
        <v/>
      </c>
      <c r="J86" s="456" t="str">
        <f ca="1">IF(N(I86)&gt;0,VLOOKUP(I86,Hraci!$A$1:$I$1500,2,0),IF(TYPE(INDIRECT(ADDRESS(ROW() + $A$9-9 + (ROW()-11)*4,2,1,1,"Internet")))&gt;1,INDIRECT(ADDRESS(ROW() + $A$9-9 + (ROW()-11)*4,2,1,1,"Internet"))," "))</f>
        <v xml:space="preserve"> </v>
      </c>
      <c r="K86" s="457" t="str">
        <f ca="1">IF(N(I86)&gt;0,VLOOKUP(I86,Hraci!$A$1:$I$1500,3,0)," ")</f>
        <v xml:space="preserve"> </v>
      </c>
      <c r="L86" s="457" t="str">
        <f ca="1">IF(N(I86)&gt;0,VLOOKUP(I86,Hraci!$A$1:$I$1500,5,0),IF(TYPE(INDIRECT(ADDRESS(ROW() + $A$9-9 + (ROW()-11)*4,3,1,1,"Internet")))&gt;1,INDIRECT(ADDRESS(ROW() + $A$9-9 + (ROW()-11)*4,3,1,1,"Internet"))," "))</f>
        <v xml:space="preserve"> </v>
      </c>
      <c r="M86" s="395">
        <f ca="1">IF(N(I86)=0,9999,VLOOKUP(I86,Hraci!$A$1:$I$1500,8,0))</f>
        <v>9999</v>
      </c>
      <c r="N86" s="458">
        <f ca="1">IF(N(I86)=0,0,VLOOKUP(I86,Hraci!$A$1:$I$1500,9,0))</f>
        <v>0</v>
      </c>
      <c r="O86" s="455" t="str">
        <f t="shared" ca="1" si="39"/>
        <v/>
      </c>
      <c r="P86" s="456" t="str">
        <f ca="1">IF(N(O86)&gt;0,VLOOKUP(O86,Hraci!$A$1:$I$1500,2,0),IF(TYPE(INDIRECT(ADDRESS(ROW() + $A$9-8 + (ROW()-11)*4,2,1,1,"Internet")))&gt;1,INDIRECT(ADDRESS(ROW() + $A$9-8 + (ROW()-11)*4,2,1,1,"Internet"))," "))</f>
        <v xml:space="preserve"> </v>
      </c>
      <c r="Q86" s="457" t="str">
        <f ca="1">IF(N(O86)&gt;0,VLOOKUP(O86,Hraci!$A$1:$I$1500,3,0)," ")</f>
        <v xml:space="preserve"> </v>
      </c>
      <c r="R86" s="457" t="str">
        <f ca="1">IF(N(O86)&gt;0,VLOOKUP(O86,Hraci!$A$1:$I$1500,5,0),IF(TYPE(INDIRECT(ADDRESS(ROW() + $A$9-8 + (ROW()-11)*4,3,1,1,"Internet")))&gt;1,INDIRECT(ADDRESS(ROW() + $A$9-8 + (ROW()-11)*4,3,1,1,"Internet"))," "))</f>
        <v xml:space="preserve"> </v>
      </c>
      <c r="S86" s="395">
        <f ca="1">IF(N(O86)=0,9999,VLOOKUP(O86,Hraci!$A$1:$I$1500,8,0))</f>
        <v>9999</v>
      </c>
      <c r="T86" s="458">
        <f ca="1">IF(N(O86)=0,0,VLOOKUP(O86,Hraci!$A$1:$I$1500,9,0))</f>
        <v>0</v>
      </c>
      <c r="U86" s="455" t="str">
        <f t="shared" ca="1" si="40"/>
        <v/>
      </c>
      <c r="V86" s="456" t="str">
        <f ca="1">IF(N(U86)&gt;0,VLOOKUP(U86,Hraci!$A$1:$I$1500,2,0),IF(TYPE(INDIRECT(ADDRESS(ROW() + $A$9-7 + (ROW()-11)*4,2,1,1,"Internet")))&gt;1,INDIRECT(ADDRESS(ROW() + $A$9-7 + (ROW()-11)*4,2,1,1,"Internet"))," "))</f>
        <v xml:space="preserve"> </v>
      </c>
      <c r="W86" s="457" t="str">
        <f ca="1">IF(N(U86)&gt;0,VLOOKUP(U86,Hraci!$A$1:$I$1500,3,0)," ")</f>
        <v xml:space="preserve"> </v>
      </c>
      <c r="X86" s="457" t="str">
        <f ca="1">IF(N(U86)&gt;0,VLOOKUP(U86,Hraci!$A$1:$I$1500,5,0),IF(TYPE(INDIRECT(ADDRESS(ROW() + $A$9-7 + (ROW()-11)*4,3,1,1,"Internet")))&gt;1,INDIRECT(ADDRESS(ROW() + $A$9-7 + (ROW()-11)*4,3,1,1,"Internet"))," "))</f>
        <v xml:space="preserve"> </v>
      </c>
      <c r="Y86" s="395">
        <f ca="1">IF(N(U86)=0,9999,VLOOKUP(U86,Hraci!$A$1:$I$1500,8,0))</f>
        <v>9999</v>
      </c>
      <c r="Z86" s="458">
        <f ca="1">IF(N(U86)=0,0,VLOOKUP(U86,Hraci!$A$1:$I$1500,9,0))</f>
        <v>0</v>
      </c>
      <c r="AA86" s="455" t="str">
        <f t="shared" ca="1" si="41"/>
        <v/>
      </c>
      <c r="AB86" s="456" t="str">
        <f ca="1">IF(N(AA86)&gt;0,VLOOKUP(AA86,Hraci!$A$1:$I$1500,2,0)," ")</f>
        <v xml:space="preserve"> </v>
      </c>
      <c r="AC86" s="457" t="str">
        <f ca="1">IF(N(AA86)&gt;0,VLOOKUP(AA86,Hraci!$A$1:$I$1500,3,0)," ")</f>
        <v xml:space="preserve"> </v>
      </c>
      <c r="AD86" s="457" t="str">
        <f ca="1">IF(N(AA86)&gt;0,VLOOKUP(AA86,Hraci!$A$1:$I$1500,5,0)," ")</f>
        <v xml:space="preserve"> </v>
      </c>
      <c r="AE86" s="395">
        <f ca="1">IF(N(AA86)=0,9999,VLOOKUP(AA86,Hraci!$A$1:$I$1500,8,0))</f>
        <v>9999</v>
      </c>
      <c r="AF86" s="458">
        <f ca="1">IF(N(AA86)=0,0,VLOOKUP(AA86,Hraci!$A$1:$I$1500,9,0))</f>
        <v>0</v>
      </c>
      <c r="AG86" s="459"/>
      <c r="AH86" s="465">
        <f ca="1">IF(TYPE(VLOOKUP(H86,Nasazení!$A$3:$E$130,5,0))&lt;4,VLOOKUP(H86,Nasazení!$A$3:$E$130,5,0),0)</f>
        <v>0</v>
      </c>
      <c r="AI86" s="460" t="str">
        <f ca="1">IF(N($AH86)&gt;0,VLOOKUP($AH86,Body!$A$4:$F$259,5,0),"")</f>
        <v/>
      </c>
      <c r="AJ86" s="461" t="str">
        <f ca="1">IF(N($AH86)&gt;0,VLOOKUP($AH86,Body!$A$4:$F$259,6,0),"")</f>
        <v/>
      </c>
      <c r="AK86" s="460" t="str">
        <f ca="1">IF(N($AH86)&gt;0,VLOOKUP($AH86,Body!$A$4:$F$259,2,0),"")</f>
        <v/>
      </c>
      <c r="AL86" s="462" t="str">
        <f t="shared" ca="1" si="42"/>
        <v/>
      </c>
      <c r="AM86" s="463">
        <f t="shared" ca="1" si="43"/>
        <v>0</v>
      </c>
      <c r="AN86" s="395">
        <f ca="1">IF(OR(TYPE(I86)&gt;1,TYPE(MATCH(I86,I87:I$139,0))&gt;1),0,MATCH(I86,I87:I$139,0))+IF(OR(TYPE(I86)&gt;1,TYPE(MATCH(I86,O$11:O$139,0))&gt;1),0,MATCH(I86,O$11:O$139,0))+IF(OR(TYPE(I86)&gt;1,TYPE(MATCH(I86,U$11:U$139,0))&gt;1),0,MATCH(I86,U$11:U$139,0))+IF(OR(TYPE(I86)&gt;1,TYPE(MATCH(I86,AA$11:AA$139,0))&gt;1),0,MATCH(I86,AA$11:AA$139,0))</f>
        <v>0</v>
      </c>
      <c r="AO86" s="395">
        <f ca="1">IF(OR(TYPE(O86)&gt;1,TYPE(MATCH(O86,I$11:I$139,0))&gt;1),0,MATCH(O86,I$11:I$139,0))+IF(OR(TYPE(O86)&gt;1,TYPE(MATCH(O86,O87:O$139,0))&gt;1),0,MATCH(O86,O87:O$139,0))+IF(OR(TYPE(O86)&gt;1,TYPE(MATCH(O86,U$11:U$139,0))&gt;1),0,MATCH(O86,U$11:U$139,0))+IF(OR(TYPE(O86)&gt;1,TYPE(MATCH(O86,AA$11:AA$139,0))&gt;1),0,MATCH(O86,AA$11:AA$139,0))</f>
        <v>0</v>
      </c>
      <c r="AP86" s="395">
        <f ca="1">IF(OR(TYPE(U86)&gt;1,TYPE(MATCH(U86,I$11:I$139,0))&gt;1),0,MATCH(U86,I$11:I$139,0))+IF(OR(TYPE(U86)&gt;1,TYPE(MATCH(U86,O$11:O$139,0))&gt;1),0,MATCH(U86,O$11:O$139,0))+IF(OR(TYPE(U86)&gt;1,TYPE(MATCH(U86,U87:U$139,0))&gt;1),0,MATCH(U86,U87:U$139,0))+IF(OR(TYPE(U86)&gt;1,TYPE(MATCH(U86,AA$11:AA$139,0))&gt;1),0,MATCH(U86,AA$11:AA$139,0))</f>
        <v>0</v>
      </c>
      <c r="AQ86" s="395">
        <f ca="1">IF(OR(TYPE(AA86)&gt;1,TYPE(MATCH(AA86,I$11:I$139,0))&gt;1),0,MATCH(AA86,I$11:I$139,0))+IF(OR(TYPE(AA86)&gt;1,TYPE(MATCH(AA86,O$11:O$139,0))&gt;1),0,MATCH(AA86,O$11:O$139,0))+IF(OR(TYPE(AA86)&gt;1,TYPE(MATCH(AA86,U$11:U$139,0))&gt;1),0,MATCH(U86,U$11:U$139,0))+IF(OR(TYPE(AA86)&gt;1,TYPE(MATCH(AA86,AA87:AA$139,0))&gt;1),0,MATCH(AA86,AA87:AA$139,0))</f>
        <v>0</v>
      </c>
      <c r="AR86" s="395">
        <f t="shared" ca="1" si="44"/>
        <v>0</v>
      </c>
      <c r="BF86" s="395">
        <f t="shared" si="45"/>
        <v>76</v>
      </c>
    </row>
    <row r="87" spans="1:58" ht="12.9">
      <c r="A87" s="387">
        <f t="shared" ca="1" si="30"/>
        <v>0</v>
      </c>
      <c r="B87" s="387">
        <f t="shared" ca="1" si="31"/>
        <v>0</v>
      </c>
      <c r="C87" s="387">
        <f t="shared" ca="1" si="32"/>
        <v>0</v>
      </c>
      <c r="D87" s="387">
        <f t="shared" ca="1" si="33"/>
        <v>99999</v>
      </c>
      <c r="E87" s="387">
        <f t="shared" ca="1" si="34"/>
        <v>9999</v>
      </c>
      <c r="F87" s="417" t="str">
        <f t="shared" ca="1" si="35"/>
        <v>00000000000000000000200053</v>
      </c>
      <c r="G87" s="453" t="b">
        <f t="shared" ca="1" si="36"/>
        <v>1</v>
      </c>
      <c r="H87" s="454">
        <f t="shared" si="37"/>
        <v>77</v>
      </c>
      <c r="I87" s="455" t="str">
        <f t="shared" ca="1" si="38"/>
        <v/>
      </c>
      <c r="J87" s="456" t="str">
        <f ca="1">IF(N(I87)&gt;0,VLOOKUP(I87,Hraci!$A$1:$I$1500,2,0),IF(TYPE(INDIRECT(ADDRESS(ROW() + $A$9-9 + (ROW()-11)*4,2,1,1,"Internet")))&gt;1,INDIRECT(ADDRESS(ROW() + $A$9-9 + (ROW()-11)*4,2,1,1,"Internet"))," "))</f>
        <v xml:space="preserve"> </v>
      </c>
      <c r="K87" s="457" t="str">
        <f ca="1">IF(N(I87)&gt;0,VLOOKUP(I87,Hraci!$A$1:$I$1500,3,0)," ")</f>
        <v xml:space="preserve"> </v>
      </c>
      <c r="L87" s="457" t="str">
        <f ca="1">IF(N(I87)&gt;0,VLOOKUP(I87,Hraci!$A$1:$I$1500,5,0),IF(TYPE(INDIRECT(ADDRESS(ROW() + $A$9-9 + (ROW()-11)*4,3,1,1,"Internet")))&gt;1,INDIRECT(ADDRESS(ROW() + $A$9-9 + (ROW()-11)*4,3,1,1,"Internet"))," "))</f>
        <v xml:space="preserve"> </v>
      </c>
      <c r="M87" s="395">
        <f ca="1">IF(N(I87)=0,9999,VLOOKUP(I87,Hraci!$A$1:$I$1500,8,0))</f>
        <v>9999</v>
      </c>
      <c r="N87" s="458">
        <f ca="1">IF(N(I87)=0,0,VLOOKUP(I87,Hraci!$A$1:$I$1500,9,0))</f>
        <v>0</v>
      </c>
      <c r="O87" s="455" t="str">
        <f t="shared" ca="1" si="39"/>
        <v/>
      </c>
      <c r="P87" s="456" t="str">
        <f ca="1">IF(N(O87)&gt;0,VLOOKUP(O87,Hraci!$A$1:$I$1500,2,0),IF(TYPE(INDIRECT(ADDRESS(ROW() + $A$9-8 + (ROW()-11)*4,2,1,1,"Internet")))&gt;1,INDIRECT(ADDRESS(ROW() + $A$9-8 + (ROW()-11)*4,2,1,1,"Internet"))," "))</f>
        <v xml:space="preserve"> </v>
      </c>
      <c r="Q87" s="457" t="str">
        <f ca="1">IF(N(O87)&gt;0,VLOOKUP(O87,Hraci!$A$1:$I$1500,3,0)," ")</f>
        <v xml:space="preserve"> </v>
      </c>
      <c r="R87" s="457" t="str">
        <f ca="1">IF(N(O87)&gt;0,VLOOKUP(O87,Hraci!$A$1:$I$1500,5,0),IF(TYPE(INDIRECT(ADDRESS(ROW() + $A$9-8 + (ROW()-11)*4,3,1,1,"Internet")))&gt;1,INDIRECT(ADDRESS(ROW() + $A$9-8 + (ROW()-11)*4,3,1,1,"Internet"))," "))</f>
        <v xml:space="preserve"> </v>
      </c>
      <c r="S87" s="395">
        <f ca="1">IF(N(O87)=0,9999,VLOOKUP(O87,Hraci!$A$1:$I$1500,8,0))</f>
        <v>9999</v>
      </c>
      <c r="T87" s="458">
        <f ca="1">IF(N(O87)=0,0,VLOOKUP(O87,Hraci!$A$1:$I$1500,9,0))</f>
        <v>0</v>
      </c>
      <c r="U87" s="455" t="str">
        <f t="shared" ca="1" si="40"/>
        <v/>
      </c>
      <c r="V87" s="456" t="str">
        <f ca="1">IF(N(U87)&gt;0,VLOOKUP(U87,Hraci!$A$1:$I$1500,2,0),IF(TYPE(INDIRECT(ADDRESS(ROW() + $A$9-7 + (ROW()-11)*4,2,1,1,"Internet")))&gt;1,INDIRECT(ADDRESS(ROW() + $A$9-7 + (ROW()-11)*4,2,1,1,"Internet"))," "))</f>
        <v xml:space="preserve"> </v>
      </c>
      <c r="W87" s="457" t="str">
        <f ca="1">IF(N(U87)&gt;0,VLOOKUP(U87,Hraci!$A$1:$I$1500,3,0)," ")</f>
        <v xml:space="preserve"> </v>
      </c>
      <c r="X87" s="457" t="str">
        <f ca="1">IF(N(U87)&gt;0,VLOOKUP(U87,Hraci!$A$1:$I$1500,5,0),IF(TYPE(INDIRECT(ADDRESS(ROW() + $A$9-7 + (ROW()-11)*4,3,1,1,"Internet")))&gt;1,INDIRECT(ADDRESS(ROW() + $A$9-7 + (ROW()-11)*4,3,1,1,"Internet"))," "))</f>
        <v xml:space="preserve"> </v>
      </c>
      <c r="Y87" s="395">
        <f ca="1">IF(N(U87)=0,9999,VLOOKUP(U87,Hraci!$A$1:$I$1500,8,0))</f>
        <v>9999</v>
      </c>
      <c r="Z87" s="458">
        <f ca="1">IF(N(U87)=0,0,VLOOKUP(U87,Hraci!$A$1:$I$1500,9,0))</f>
        <v>0</v>
      </c>
      <c r="AA87" s="455" t="str">
        <f t="shared" ca="1" si="41"/>
        <v/>
      </c>
      <c r="AB87" s="456" t="str">
        <f ca="1">IF(N(AA87)&gt;0,VLOOKUP(AA87,Hraci!$A$1:$I$1500,2,0)," ")</f>
        <v xml:space="preserve"> </v>
      </c>
      <c r="AC87" s="457" t="str">
        <f ca="1">IF(N(AA87)&gt;0,VLOOKUP(AA87,Hraci!$A$1:$I$1500,3,0)," ")</f>
        <v xml:space="preserve"> </v>
      </c>
      <c r="AD87" s="457" t="str">
        <f ca="1">IF(N(AA87)&gt;0,VLOOKUP(AA87,Hraci!$A$1:$I$1500,5,0)," ")</f>
        <v xml:space="preserve"> </v>
      </c>
      <c r="AE87" s="395">
        <f ca="1">IF(N(AA87)=0,9999,VLOOKUP(AA87,Hraci!$A$1:$I$1500,8,0))</f>
        <v>9999</v>
      </c>
      <c r="AF87" s="458">
        <f ca="1">IF(N(AA87)=0,0,VLOOKUP(AA87,Hraci!$A$1:$I$1500,9,0))</f>
        <v>0</v>
      </c>
      <c r="AG87" s="459"/>
      <c r="AH87" s="465">
        <f ca="1">IF(TYPE(VLOOKUP(H87,Nasazení!$A$3:$E$130,5,0))&lt;4,VLOOKUP(H87,Nasazení!$A$3:$E$130,5,0),0)</f>
        <v>0</v>
      </c>
      <c r="AI87" s="460" t="str">
        <f ca="1">IF(N($AH87)&gt;0,VLOOKUP($AH87,Body!$A$4:$F$259,5,0),"")</f>
        <v/>
      </c>
      <c r="AJ87" s="461" t="str">
        <f ca="1">IF(N($AH87)&gt;0,VLOOKUP($AH87,Body!$A$4:$F$259,6,0),"")</f>
        <v/>
      </c>
      <c r="AK87" s="460" t="str">
        <f ca="1">IF(N($AH87)&gt;0,VLOOKUP($AH87,Body!$A$4:$F$259,2,0),"")</f>
        <v/>
      </c>
      <c r="AL87" s="462" t="str">
        <f t="shared" ca="1" si="42"/>
        <v/>
      </c>
      <c r="AM87" s="463">
        <f t="shared" ca="1" si="43"/>
        <v>0</v>
      </c>
      <c r="AN87" s="395">
        <f ca="1">IF(OR(TYPE(I87)&gt;1,TYPE(MATCH(I87,I88:I$139,0))&gt;1),0,MATCH(I87,I88:I$139,0))+IF(OR(TYPE(I87)&gt;1,TYPE(MATCH(I87,O$11:O$139,0))&gt;1),0,MATCH(I87,O$11:O$139,0))+IF(OR(TYPE(I87)&gt;1,TYPE(MATCH(I87,U$11:U$139,0))&gt;1),0,MATCH(I87,U$11:U$139,0))+IF(OR(TYPE(I87)&gt;1,TYPE(MATCH(I87,AA$11:AA$139,0))&gt;1),0,MATCH(I87,AA$11:AA$139,0))</f>
        <v>0</v>
      </c>
      <c r="AO87" s="395">
        <f ca="1">IF(OR(TYPE(O87)&gt;1,TYPE(MATCH(O87,I$11:I$139,0))&gt;1),0,MATCH(O87,I$11:I$139,0))+IF(OR(TYPE(O87)&gt;1,TYPE(MATCH(O87,O88:O$139,0))&gt;1),0,MATCH(O87,O88:O$139,0))+IF(OR(TYPE(O87)&gt;1,TYPE(MATCH(O87,U$11:U$139,0))&gt;1),0,MATCH(O87,U$11:U$139,0))+IF(OR(TYPE(O87)&gt;1,TYPE(MATCH(O87,AA$11:AA$139,0))&gt;1),0,MATCH(O87,AA$11:AA$139,0))</f>
        <v>0</v>
      </c>
      <c r="AP87" s="395">
        <f ca="1">IF(OR(TYPE(U87)&gt;1,TYPE(MATCH(U87,I$11:I$139,0))&gt;1),0,MATCH(U87,I$11:I$139,0))+IF(OR(TYPE(U87)&gt;1,TYPE(MATCH(U87,O$11:O$139,0))&gt;1),0,MATCH(U87,O$11:O$139,0))+IF(OR(TYPE(U87)&gt;1,TYPE(MATCH(U87,U88:U$139,0))&gt;1),0,MATCH(U87,U88:U$139,0))+IF(OR(TYPE(U87)&gt;1,TYPE(MATCH(U87,AA$11:AA$139,0))&gt;1),0,MATCH(U87,AA$11:AA$139,0))</f>
        <v>0</v>
      </c>
      <c r="AQ87" s="395">
        <f ca="1">IF(OR(TYPE(AA87)&gt;1,TYPE(MATCH(AA87,I$11:I$139,0))&gt;1),0,MATCH(AA87,I$11:I$139,0))+IF(OR(TYPE(AA87)&gt;1,TYPE(MATCH(AA87,O$11:O$139,0))&gt;1),0,MATCH(AA87,O$11:O$139,0))+IF(OR(TYPE(AA87)&gt;1,TYPE(MATCH(AA87,U$11:U$139,0))&gt;1),0,MATCH(U87,U$11:U$139,0))+IF(OR(TYPE(AA87)&gt;1,TYPE(MATCH(AA87,AA88:AA$139,0))&gt;1),0,MATCH(AA87,AA88:AA$139,0))</f>
        <v>0</v>
      </c>
      <c r="AR87" s="395">
        <f t="shared" ca="1" si="44"/>
        <v>0</v>
      </c>
      <c r="BF87" s="395">
        <f t="shared" si="45"/>
        <v>77</v>
      </c>
    </row>
    <row r="88" spans="1:58" ht="12.9">
      <c r="A88" s="387">
        <f t="shared" ca="1" si="30"/>
        <v>0</v>
      </c>
      <c r="B88" s="387">
        <f t="shared" ca="1" si="31"/>
        <v>0</v>
      </c>
      <c r="C88" s="387">
        <f t="shared" ca="1" si="32"/>
        <v>0</v>
      </c>
      <c r="D88" s="387">
        <f t="shared" ca="1" si="33"/>
        <v>99999</v>
      </c>
      <c r="E88" s="387">
        <f t="shared" ca="1" si="34"/>
        <v>9999</v>
      </c>
      <c r="F88" s="417" t="str">
        <f t="shared" ca="1" si="35"/>
        <v>00000000000000000000703053</v>
      </c>
      <c r="G88" s="453" t="b">
        <f t="shared" ca="1" si="36"/>
        <v>1</v>
      </c>
      <c r="H88" s="454">
        <f t="shared" si="37"/>
        <v>78</v>
      </c>
      <c r="I88" s="455" t="str">
        <f t="shared" ca="1" si="38"/>
        <v/>
      </c>
      <c r="J88" s="456" t="str">
        <f ca="1">IF(N(I88)&gt;0,VLOOKUP(I88,Hraci!$A$1:$I$1500,2,0),IF(TYPE(INDIRECT(ADDRESS(ROW() + $A$9-9 + (ROW()-11)*4,2,1,1,"Internet")))&gt;1,INDIRECT(ADDRESS(ROW() + $A$9-9 + (ROW()-11)*4,2,1,1,"Internet"))," "))</f>
        <v xml:space="preserve"> </v>
      </c>
      <c r="K88" s="457" t="str">
        <f ca="1">IF(N(I88)&gt;0,VLOOKUP(I88,Hraci!$A$1:$I$1500,3,0)," ")</f>
        <v xml:space="preserve"> </v>
      </c>
      <c r="L88" s="457" t="str">
        <f ca="1">IF(N(I88)&gt;0,VLOOKUP(I88,Hraci!$A$1:$I$1500,5,0),IF(TYPE(INDIRECT(ADDRESS(ROW() + $A$9-9 + (ROW()-11)*4,3,1,1,"Internet")))&gt;1,INDIRECT(ADDRESS(ROW() + $A$9-9 + (ROW()-11)*4,3,1,1,"Internet"))," "))</f>
        <v xml:space="preserve"> </v>
      </c>
      <c r="M88" s="395">
        <f ca="1">IF(N(I88)=0,9999,VLOOKUP(I88,Hraci!$A$1:$I$1500,8,0))</f>
        <v>9999</v>
      </c>
      <c r="N88" s="458">
        <f ca="1">IF(N(I88)=0,0,VLOOKUP(I88,Hraci!$A$1:$I$1500,9,0))</f>
        <v>0</v>
      </c>
      <c r="O88" s="455" t="str">
        <f t="shared" ca="1" si="39"/>
        <v/>
      </c>
      <c r="P88" s="456" t="str">
        <f ca="1">IF(N(O88)&gt;0,VLOOKUP(O88,Hraci!$A$1:$I$1500,2,0),IF(TYPE(INDIRECT(ADDRESS(ROW() + $A$9-8 + (ROW()-11)*4,2,1,1,"Internet")))&gt;1,INDIRECT(ADDRESS(ROW() + $A$9-8 + (ROW()-11)*4,2,1,1,"Internet"))," "))</f>
        <v xml:space="preserve"> </v>
      </c>
      <c r="Q88" s="457" t="str">
        <f ca="1">IF(N(O88)&gt;0,VLOOKUP(O88,Hraci!$A$1:$I$1500,3,0)," ")</f>
        <v xml:space="preserve"> </v>
      </c>
      <c r="R88" s="457" t="str">
        <f ca="1">IF(N(O88)&gt;0,VLOOKUP(O88,Hraci!$A$1:$I$1500,5,0),IF(TYPE(INDIRECT(ADDRESS(ROW() + $A$9-8 + (ROW()-11)*4,3,1,1,"Internet")))&gt;1,INDIRECT(ADDRESS(ROW() + $A$9-8 + (ROW()-11)*4,3,1,1,"Internet"))," "))</f>
        <v xml:space="preserve"> </v>
      </c>
      <c r="S88" s="395">
        <f ca="1">IF(N(O88)=0,9999,VLOOKUP(O88,Hraci!$A$1:$I$1500,8,0))</f>
        <v>9999</v>
      </c>
      <c r="T88" s="458">
        <f ca="1">IF(N(O88)=0,0,VLOOKUP(O88,Hraci!$A$1:$I$1500,9,0))</f>
        <v>0</v>
      </c>
      <c r="U88" s="455" t="str">
        <f t="shared" ca="1" si="40"/>
        <v/>
      </c>
      <c r="V88" s="456" t="str">
        <f ca="1">IF(N(U88)&gt;0,VLOOKUP(U88,Hraci!$A$1:$I$1500,2,0),IF(TYPE(INDIRECT(ADDRESS(ROW() + $A$9-7 + (ROW()-11)*4,2,1,1,"Internet")))&gt;1,INDIRECT(ADDRESS(ROW() + $A$9-7 + (ROW()-11)*4,2,1,1,"Internet"))," "))</f>
        <v xml:space="preserve"> </v>
      </c>
      <c r="W88" s="457" t="str">
        <f ca="1">IF(N(U88)&gt;0,VLOOKUP(U88,Hraci!$A$1:$I$1500,3,0)," ")</f>
        <v xml:space="preserve"> </v>
      </c>
      <c r="X88" s="457" t="str">
        <f ca="1">IF(N(U88)&gt;0,VLOOKUP(U88,Hraci!$A$1:$I$1500,5,0),IF(TYPE(INDIRECT(ADDRESS(ROW() + $A$9-7 + (ROW()-11)*4,3,1,1,"Internet")))&gt;1,INDIRECT(ADDRESS(ROW() + $A$9-7 + (ROW()-11)*4,3,1,1,"Internet"))," "))</f>
        <v xml:space="preserve"> </v>
      </c>
      <c r="Y88" s="395">
        <f ca="1">IF(N(U88)=0,9999,VLOOKUP(U88,Hraci!$A$1:$I$1500,8,0))</f>
        <v>9999</v>
      </c>
      <c r="Z88" s="458">
        <f ca="1">IF(N(U88)=0,0,VLOOKUP(U88,Hraci!$A$1:$I$1500,9,0))</f>
        <v>0</v>
      </c>
      <c r="AA88" s="455" t="str">
        <f t="shared" ca="1" si="41"/>
        <v/>
      </c>
      <c r="AB88" s="456" t="str">
        <f ca="1">IF(N(AA88)&gt;0,VLOOKUP(AA88,Hraci!$A$1:$I$1500,2,0)," ")</f>
        <v xml:space="preserve"> </v>
      </c>
      <c r="AC88" s="457" t="str">
        <f ca="1">IF(N(AA88)&gt;0,VLOOKUP(AA88,Hraci!$A$1:$I$1500,3,0)," ")</f>
        <v xml:space="preserve"> </v>
      </c>
      <c r="AD88" s="457" t="str">
        <f ca="1">IF(N(AA88)&gt;0,VLOOKUP(AA88,Hraci!$A$1:$I$1500,5,0)," ")</f>
        <v xml:space="preserve"> </v>
      </c>
      <c r="AE88" s="395">
        <f ca="1">IF(N(AA88)=0,9999,VLOOKUP(AA88,Hraci!$A$1:$I$1500,8,0))</f>
        <v>9999</v>
      </c>
      <c r="AF88" s="458">
        <f ca="1">IF(N(AA88)=0,0,VLOOKUP(AA88,Hraci!$A$1:$I$1500,9,0))</f>
        <v>0</v>
      </c>
      <c r="AG88" s="459"/>
      <c r="AH88" s="465">
        <f ca="1">IF(TYPE(VLOOKUP(H88,Nasazení!$A$3:$E$130,5,0))&lt;4,VLOOKUP(H88,Nasazení!$A$3:$E$130,5,0),0)</f>
        <v>0</v>
      </c>
      <c r="AI88" s="460" t="str">
        <f ca="1">IF(N($AH88)&gt;0,VLOOKUP($AH88,Body!$A$4:$F$259,5,0),"")</f>
        <v/>
      </c>
      <c r="AJ88" s="461" t="str">
        <f ca="1">IF(N($AH88)&gt;0,VLOOKUP($AH88,Body!$A$4:$F$259,6,0),"")</f>
        <v/>
      </c>
      <c r="AK88" s="460" t="str">
        <f ca="1">IF(N($AH88)&gt;0,VLOOKUP($AH88,Body!$A$4:$F$259,2,0),"")</f>
        <v/>
      </c>
      <c r="AL88" s="462" t="str">
        <f t="shared" ca="1" si="42"/>
        <v/>
      </c>
      <c r="AM88" s="463">
        <f t="shared" ca="1" si="43"/>
        <v>0</v>
      </c>
      <c r="AN88" s="395">
        <f ca="1">IF(OR(TYPE(I88)&gt;1,TYPE(MATCH(I88,I89:I$139,0))&gt;1),0,MATCH(I88,I89:I$139,0))+IF(OR(TYPE(I88)&gt;1,TYPE(MATCH(I88,O$11:O$139,0))&gt;1),0,MATCH(I88,O$11:O$139,0))+IF(OR(TYPE(I88)&gt;1,TYPE(MATCH(I88,U$11:U$139,0))&gt;1),0,MATCH(I88,U$11:U$139,0))+IF(OR(TYPE(I88)&gt;1,TYPE(MATCH(I88,AA$11:AA$139,0))&gt;1),0,MATCH(I88,AA$11:AA$139,0))</f>
        <v>0</v>
      </c>
      <c r="AO88" s="395">
        <f ca="1">IF(OR(TYPE(O88)&gt;1,TYPE(MATCH(O88,I$11:I$139,0))&gt;1),0,MATCH(O88,I$11:I$139,0))+IF(OR(TYPE(O88)&gt;1,TYPE(MATCH(O88,O89:O$139,0))&gt;1),0,MATCH(O88,O89:O$139,0))+IF(OR(TYPE(O88)&gt;1,TYPE(MATCH(O88,U$11:U$139,0))&gt;1),0,MATCH(O88,U$11:U$139,0))+IF(OR(TYPE(O88)&gt;1,TYPE(MATCH(O88,AA$11:AA$139,0))&gt;1),0,MATCH(O88,AA$11:AA$139,0))</f>
        <v>0</v>
      </c>
      <c r="AP88" s="395">
        <f ca="1">IF(OR(TYPE(U88)&gt;1,TYPE(MATCH(U88,I$11:I$139,0))&gt;1),0,MATCH(U88,I$11:I$139,0))+IF(OR(TYPE(U88)&gt;1,TYPE(MATCH(U88,O$11:O$139,0))&gt;1),0,MATCH(U88,O$11:O$139,0))+IF(OR(TYPE(U88)&gt;1,TYPE(MATCH(U88,U89:U$139,0))&gt;1),0,MATCH(U88,U89:U$139,0))+IF(OR(TYPE(U88)&gt;1,TYPE(MATCH(U88,AA$11:AA$139,0))&gt;1),0,MATCH(U88,AA$11:AA$139,0))</f>
        <v>0</v>
      </c>
      <c r="AQ88" s="395">
        <f ca="1">IF(OR(TYPE(AA88)&gt;1,TYPE(MATCH(AA88,I$11:I$139,0))&gt;1),0,MATCH(AA88,I$11:I$139,0))+IF(OR(TYPE(AA88)&gt;1,TYPE(MATCH(AA88,O$11:O$139,0))&gt;1),0,MATCH(AA88,O$11:O$139,0))+IF(OR(TYPE(AA88)&gt;1,TYPE(MATCH(AA88,U$11:U$139,0))&gt;1),0,MATCH(U88,U$11:U$139,0))+IF(OR(TYPE(AA88)&gt;1,TYPE(MATCH(AA88,AA89:AA$139,0))&gt;1),0,MATCH(AA88,AA89:AA$139,0))</f>
        <v>0</v>
      </c>
      <c r="AR88" s="395">
        <f t="shared" ca="1" si="44"/>
        <v>0</v>
      </c>
      <c r="BF88" s="395">
        <f t="shared" si="45"/>
        <v>78</v>
      </c>
    </row>
    <row r="89" spans="1:58" ht="12.9">
      <c r="A89" s="387">
        <f t="shared" ca="1" si="30"/>
        <v>0</v>
      </c>
      <c r="B89" s="387">
        <f t="shared" ca="1" si="31"/>
        <v>0</v>
      </c>
      <c r="C89" s="387">
        <f t="shared" ca="1" si="32"/>
        <v>0</v>
      </c>
      <c r="D89" s="387">
        <f t="shared" ca="1" si="33"/>
        <v>99999</v>
      </c>
      <c r="E89" s="387">
        <f t="shared" ca="1" si="34"/>
        <v>9999</v>
      </c>
      <c r="F89" s="417" t="str">
        <f t="shared" ca="1" si="35"/>
        <v>00000000000000000000123940</v>
      </c>
      <c r="G89" s="453" t="b">
        <f t="shared" ca="1" si="36"/>
        <v>1</v>
      </c>
      <c r="H89" s="454">
        <f t="shared" si="37"/>
        <v>79</v>
      </c>
      <c r="I89" s="455" t="str">
        <f t="shared" ca="1" si="38"/>
        <v/>
      </c>
      <c r="J89" s="456" t="str">
        <f ca="1">IF(N(I89)&gt;0,VLOOKUP(I89,Hraci!$A$1:$I$1500,2,0),IF(TYPE(INDIRECT(ADDRESS(ROW() + $A$9-9 + (ROW()-11)*4,2,1,1,"Internet")))&gt;1,INDIRECT(ADDRESS(ROW() + $A$9-9 + (ROW()-11)*4,2,1,1,"Internet"))," "))</f>
        <v xml:space="preserve"> </v>
      </c>
      <c r="K89" s="457" t="str">
        <f ca="1">IF(N(I89)&gt;0,VLOOKUP(I89,Hraci!$A$1:$I$1500,3,0)," ")</f>
        <v xml:space="preserve"> </v>
      </c>
      <c r="L89" s="457" t="str">
        <f ca="1">IF(N(I89)&gt;0,VLOOKUP(I89,Hraci!$A$1:$I$1500,5,0),IF(TYPE(INDIRECT(ADDRESS(ROW() + $A$9-9 + (ROW()-11)*4,3,1,1,"Internet")))&gt;1,INDIRECT(ADDRESS(ROW() + $A$9-9 + (ROW()-11)*4,3,1,1,"Internet"))," "))</f>
        <v xml:space="preserve"> </v>
      </c>
      <c r="M89" s="395">
        <f ca="1">IF(N(I89)=0,9999,VLOOKUP(I89,Hraci!$A$1:$I$1500,8,0))</f>
        <v>9999</v>
      </c>
      <c r="N89" s="458">
        <f ca="1">IF(N(I89)=0,0,VLOOKUP(I89,Hraci!$A$1:$I$1500,9,0))</f>
        <v>0</v>
      </c>
      <c r="O89" s="455" t="str">
        <f t="shared" ca="1" si="39"/>
        <v/>
      </c>
      <c r="P89" s="456" t="str">
        <f ca="1">IF(N(O89)&gt;0,VLOOKUP(O89,Hraci!$A$1:$I$1500,2,0),IF(TYPE(INDIRECT(ADDRESS(ROW() + $A$9-8 + (ROW()-11)*4,2,1,1,"Internet")))&gt;1,INDIRECT(ADDRESS(ROW() + $A$9-8 + (ROW()-11)*4,2,1,1,"Internet"))," "))</f>
        <v xml:space="preserve"> </v>
      </c>
      <c r="Q89" s="457" t="str">
        <f ca="1">IF(N(O89)&gt;0,VLOOKUP(O89,Hraci!$A$1:$I$1500,3,0)," ")</f>
        <v xml:space="preserve"> </v>
      </c>
      <c r="R89" s="457" t="str">
        <f ca="1">IF(N(O89)&gt;0,VLOOKUP(O89,Hraci!$A$1:$I$1500,5,0),IF(TYPE(INDIRECT(ADDRESS(ROW() + $A$9-8 + (ROW()-11)*4,3,1,1,"Internet")))&gt;1,INDIRECT(ADDRESS(ROW() + $A$9-8 + (ROW()-11)*4,3,1,1,"Internet"))," "))</f>
        <v xml:space="preserve"> </v>
      </c>
      <c r="S89" s="395">
        <f ca="1">IF(N(O89)=0,9999,VLOOKUP(O89,Hraci!$A$1:$I$1500,8,0))</f>
        <v>9999</v>
      </c>
      <c r="T89" s="458">
        <f ca="1">IF(N(O89)=0,0,VLOOKUP(O89,Hraci!$A$1:$I$1500,9,0))</f>
        <v>0</v>
      </c>
      <c r="U89" s="455" t="str">
        <f t="shared" ca="1" si="40"/>
        <v/>
      </c>
      <c r="V89" s="456" t="str">
        <f ca="1">IF(N(U89)&gt;0,VLOOKUP(U89,Hraci!$A$1:$I$1500,2,0),IF(TYPE(INDIRECT(ADDRESS(ROW() + $A$9-7 + (ROW()-11)*4,2,1,1,"Internet")))&gt;1,INDIRECT(ADDRESS(ROW() + $A$9-7 + (ROW()-11)*4,2,1,1,"Internet"))," "))</f>
        <v xml:space="preserve"> </v>
      </c>
      <c r="W89" s="457" t="str">
        <f ca="1">IF(N(U89)&gt;0,VLOOKUP(U89,Hraci!$A$1:$I$1500,3,0)," ")</f>
        <v xml:space="preserve"> </v>
      </c>
      <c r="X89" s="457" t="str">
        <f ca="1">IF(N(U89)&gt;0,VLOOKUP(U89,Hraci!$A$1:$I$1500,5,0),IF(TYPE(INDIRECT(ADDRESS(ROW() + $A$9-7 + (ROW()-11)*4,3,1,1,"Internet")))&gt;1,INDIRECT(ADDRESS(ROW() + $A$9-7 + (ROW()-11)*4,3,1,1,"Internet"))," "))</f>
        <v xml:space="preserve"> </v>
      </c>
      <c r="Y89" s="395">
        <f ca="1">IF(N(U89)=0,9999,VLOOKUP(U89,Hraci!$A$1:$I$1500,8,0))</f>
        <v>9999</v>
      </c>
      <c r="Z89" s="458">
        <f ca="1">IF(N(U89)=0,0,VLOOKUP(U89,Hraci!$A$1:$I$1500,9,0))</f>
        <v>0</v>
      </c>
      <c r="AA89" s="455" t="str">
        <f t="shared" ca="1" si="41"/>
        <v/>
      </c>
      <c r="AB89" s="456" t="str">
        <f ca="1">IF(N(AA89)&gt;0,VLOOKUP(AA89,Hraci!$A$1:$I$1500,2,0)," ")</f>
        <v xml:space="preserve"> </v>
      </c>
      <c r="AC89" s="457" t="str">
        <f ca="1">IF(N(AA89)&gt;0,VLOOKUP(AA89,Hraci!$A$1:$I$1500,3,0)," ")</f>
        <v xml:space="preserve"> </v>
      </c>
      <c r="AD89" s="457" t="str">
        <f ca="1">IF(N(AA89)&gt;0,VLOOKUP(AA89,Hraci!$A$1:$I$1500,5,0)," ")</f>
        <v xml:space="preserve"> </v>
      </c>
      <c r="AE89" s="395">
        <f ca="1">IF(N(AA89)=0,9999,VLOOKUP(AA89,Hraci!$A$1:$I$1500,8,0))</f>
        <v>9999</v>
      </c>
      <c r="AF89" s="458">
        <f ca="1">IF(N(AA89)=0,0,VLOOKUP(AA89,Hraci!$A$1:$I$1500,9,0))</f>
        <v>0</v>
      </c>
      <c r="AG89" s="459"/>
      <c r="AH89" s="465">
        <f ca="1">IF(TYPE(VLOOKUP(H89,Nasazení!$A$3:$E$130,5,0))&lt;4,VLOOKUP(H89,Nasazení!$A$3:$E$130,5,0),0)</f>
        <v>0</v>
      </c>
      <c r="AI89" s="460" t="str">
        <f ca="1">IF(N($AH89)&gt;0,VLOOKUP($AH89,Body!$A$4:$F$259,5,0),"")</f>
        <v/>
      </c>
      <c r="AJ89" s="461" t="str">
        <f ca="1">IF(N($AH89)&gt;0,VLOOKUP($AH89,Body!$A$4:$F$259,6,0),"")</f>
        <v/>
      </c>
      <c r="AK89" s="460" t="str">
        <f ca="1">IF(N($AH89)&gt;0,VLOOKUP($AH89,Body!$A$4:$F$259,2,0),"")</f>
        <v/>
      </c>
      <c r="AL89" s="462" t="str">
        <f t="shared" ca="1" si="42"/>
        <v/>
      </c>
      <c r="AM89" s="463">
        <f t="shared" ca="1" si="43"/>
        <v>0</v>
      </c>
      <c r="AN89" s="395">
        <f ca="1">IF(OR(TYPE(I89)&gt;1,TYPE(MATCH(I89,I90:I$139,0))&gt;1),0,MATCH(I89,I90:I$139,0))+IF(OR(TYPE(I89)&gt;1,TYPE(MATCH(I89,O$11:O$139,0))&gt;1),0,MATCH(I89,O$11:O$139,0))+IF(OR(TYPE(I89)&gt;1,TYPE(MATCH(I89,U$11:U$139,0))&gt;1),0,MATCH(I89,U$11:U$139,0))+IF(OR(TYPE(I89)&gt;1,TYPE(MATCH(I89,AA$11:AA$139,0))&gt;1),0,MATCH(I89,AA$11:AA$139,0))</f>
        <v>0</v>
      </c>
      <c r="AO89" s="395">
        <f ca="1">IF(OR(TYPE(O89)&gt;1,TYPE(MATCH(O89,I$11:I$139,0))&gt;1),0,MATCH(O89,I$11:I$139,0))+IF(OR(TYPE(O89)&gt;1,TYPE(MATCH(O89,O90:O$139,0))&gt;1),0,MATCH(O89,O90:O$139,0))+IF(OR(TYPE(O89)&gt;1,TYPE(MATCH(O89,U$11:U$139,0))&gt;1),0,MATCH(O89,U$11:U$139,0))+IF(OR(TYPE(O89)&gt;1,TYPE(MATCH(O89,AA$11:AA$139,0))&gt;1),0,MATCH(O89,AA$11:AA$139,0))</f>
        <v>0</v>
      </c>
      <c r="AP89" s="395">
        <f ca="1">IF(OR(TYPE(U89)&gt;1,TYPE(MATCH(U89,I$11:I$139,0))&gt;1),0,MATCH(U89,I$11:I$139,0))+IF(OR(TYPE(U89)&gt;1,TYPE(MATCH(U89,O$11:O$139,0))&gt;1),0,MATCH(U89,O$11:O$139,0))+IF(OR(TYPE(U89)&gt;1,TYPE(MATCH(U89,U90:U$139,0))&gt;1),0,MATCH(U89,U90:U$139,0))+IF(OR(TYPE(U89)&gt;1,TYPE(MATCH(U89,AA$11:AA$139,0))&gt;1),0,MATCH(U89,AA$11:AA$139,0))</f>
        <v>0</v>
      </c>
      <c r="AQ89" s="395">
        <f ca="1">IF(OR(TYPE(AA89)&gt;1,TYPE(MATCH(AA89,I$11:I$139,0))&gt;1),0,MATCH(AA89,I$11:I$139,0))+IF(OR(TYPE(AA89)&gt;1,TYPE(MATCH(AA89,O$11:O$139,0))&gt;1),0,MATCH(AA89,O$11:O$139,0))+IF(OR(TYPE(AA89)&gt;1,TYPE(MATCH(AA89,U$11:U$139,0))&gt;1),0,MATCH(U89,U$11:U$139,0))+IF(OR(TYPE(AA89)&gt;1,TYPE(MATCH(AA89,AA90:AA$139,0))&gt;1),0,MATCH(AA89,AA90:AA$139,0))</f>
        <v>0</v>
      </c>
      <c r="AR89" s="395">
        <f t="shared" ca="1" si="44"/>
        <v>0</v>
      </c>
      <c r="BF89" s="395">
        <f t="shared" si="45"/>
        <v>79</v>
      </c>
    </row>
    <row r="90" spans="1:58" ht="12.9">
      <c r="A90" s="387">
        <f t="shared" ca="1" si="30"/>
        <v>0</v>
      </c>
      <c r="B90" s="387">
        <f t="shared" ca="1" si="31"/>
        <v>0</v>
      </c>
      <c r="C90" s="387">
        <f t="shared" ca="1" si="32"/>
        <v>0</v>
      </c>
      <c r="D90" s="387">
        <f t="shared" ca="1" si="33"/>
        <v>99999</v>
      </c>
      <c r="E90" s="387">
        <f t="shared" ca="1" si="34"/>
        <v>9999</v>
      </c>
      <c r="F90" s="417" t="str">
        <f t="shared" ca="1" si="35"/>
        <v>00000000000000000000264262</v>
      </c>
      <c r="G90" s="453" t="b">
        <f t="shared" ca="1" si="36"/>
        <v>1</v>
      </c>
      <c r="H90" s="454">
        <f t="shared" si="37"/>
        <v>80</v>
      </c>
      <c r="I90" s="455" t="str">
        <f t="shared" ca="1" si="38"/>
        <v/>
      </c>
      <c r="J90" s="456" t="str">
        <f ca="1">IF(N(I90)&gt;0,VLOOKUP(I90,Hraci!$A$1:$I$1500,2,0),IF(TYPE(INDIRECT(ADDRESS(ROW() + $A$9-9 + (ROW()-11)*4,2,1,1,"Internet")))&gt;1,INDIRECT(ADDRESS(ROW() + $A$9-9 + (ROW()-11)*4,2,1,1,"Internet"))," "))</f>
        <v xml:space="preserve"> </v>
      </c>
      <c r="K90" s="457" t="str">
        <f ca="1">IF(N(I90)&gt;0,VLOOKUP(I90,Hraci!$A$1:$I$1500,3,0)," ")</f>
        <v xml:space="preserve"> </v>
      </c>
      <c r="L90" s="457" t="str">
        <f ca="1">IF(N(I90)&gt;0,VLOOKUP(I90,Hraci!$A$1:$I$1500,5,0),IF(TYPE(INDIRECT(ADDRESS(ROW() + $A$9-9 + (ROW()-11)*4,3,1,1,"Internet")))&gt;1,INDIRECT(ADDRESS(ROW() + $A$9-9 + (ROW()-11)*4,3,1,1,"Internet"))," "))</f>
        <v xml:space="preserve"> </v>
      </c>
      <c r="M90" s="395">
        <f ca="1">IF(N(I90)=0,9999,VLOOKUP(I90,Hraci!$A$1:$I$1500,8,0))</f>
        <v>9999</v>
      </c>
      <c r="N90" s="458">
        <f ca="1">IF(N(I90)=0,0,VLOOKUP(I90,Hraci!$A$1:$I$1500,9,0))</f>
        <v>0</v>
      </c>
      <c r="O90" s="455" t="str">
        <f t="shared" ca="1" si="39"/>
        <v/>
      </c>
      <c r="P90" s="456" t="str">
        <f ca="1">IF(N(O90)&gt;0,VLOOKUP(O90,Hraci!$A$1:$I$1500,2,0),IF(TYPE(INDIRECT(ADDRESS(ROW() + $A$9-8 + (ROW()-11)*4,2,1,1,"Internet")))&gt;1,INDIRECT(ADDRESS(ROW() + $A$9-8 + (ROW()-11)*4,2,1,1,"Internet"))," "))</f>
        <v xml:space="preserve"> </v>
      </c>
      <c r="Q90" s="457" t="str">
        <f ca="1">IF(N(O90)&gt;0,VLOOKUP(O90,Hraci!$A$1:$I$1500,3,0)," ")</f>
        <v xml:space="preserve"> </v>
      </c>
      <c r="R90" s="457" t="str">
        <f ca="1">IF(N(O90)&gt;0,VLOOKUP(O90,Hraci!$A$1:$I$1500,5,0),IF(TYPE(INDIRECT(ADDRESS(ROW() + $A$9-8 + (ROW()-11)*4,3,1,1,"Internet")))&gt;1,INDIRECT(ADDRESS(ROW() + $A$9-8 + (ROW()-11)*4,3,1,1,"Internet"))," "))</f>
        <v xml:space="preserve"> </v>
      </c>
      <c r="S90" s="395">
        <f ca="1">IF(N(O90)=0,9999,VLOOKUP(O90,Hraci!$A$1:$I$1500,8,0))</f>
        <v>9999</v>
      </c>
      <c r="T90" s="458">
        <f ca="1">IF(N(O90)=0,0,VLOOKUP(O90,Hraci!$A$1:$I$1500,9,0))</f>
        <v>0</v>
      </c>
      <c r="U90" s="455" t="str">
        <f t="shared" ca="1" si="40"/>
        <v/>
      </c>
      <c r="V90" s="456" t="str">
        <f ca="1">IF(N(U90)&gt;0,VLOOKUP(U90,Hraci!$A$1:$I$1500,2,0),IF(TYPE(INDIRECT(ADDRESS(ROW() + $A$9-7 + (ROW()-11)*4,2,1,1,"Internet")))&gt;1,INDIRECT(ADDRESS(ROW() + $A$9-7 + (ROW()-11)*4,2,1,1,"Internet"))," "))</f>
        <v xml:space="preserve"> </v>
      </c>
      <c r="W90" s="457" t="str">
        <f ca="1">IF(N(U90)&gt;0,VLOOKUP(U90,Hraci!$A$1:$I$1500,3,0)," ")</f>
        <v xml:space="preserve"> </v>
      </c>
      <c r="X90" s="457" t="str">
        <f ca="1">IF(N(U90)&gt;0,VLOOKUP(U90,Hraci!$A$1:$I$1500,5,0),IF(TYPE(INDIRECT(ADDRESS(ROW() + $A$9-7 + (ROW()-11)*4,3,1,1,"Internet")))&gt;1,INDIRECT(ADDRESS(ROW() + $A$9-7 + (ROW()-11)*4,3,1,1,"Internet"))," "))</f>
        <v xml:space="preserve"> </v>
      </c>
      <c r="Y90" s="395">
        <f ca="1">IF(N(U90)=0,9999,VLOOKUP(U90,Hraci!$A$1:$I$1500,8,0))</f>
        <v>9999</v>
      </c>
      <c r="Z90" s="458">
        <f ca="1">IF(N(U90)=0,0,VLOOKUP(U90,Hraci!$A$1:$I$1500,9,0))</f>
        <v>0</v>
      </c>
      <c r="AA90" s="455" t="str">
        <f t="shared" ca="1" si="41"/>
        <v/>
      </c>
      <c r="AB90" s="456" t="str">
        <f ca="1">IF(N(AA90)&gt;0,VLOOKUP(AA90,Hraci!$A$1:$I$1500,2,0)," ")</f>
        <v xml:space="preserve"> </v>
      </c>
      <c r="AC90" s="457" t="str">
        <f ca="1">IF(N(AA90)&gt;0,VLOOKUP(AA90,Hraci!$A$1:$I$1500,3,0)," ")</f>
        <v xml:space="preserve"> </v>
      </c>
      <c r="AD90" s="457" t="str">
        <f ca="1">IF(N(AA90)&gt;0,VLOOKUP(AA90,Hraci!$A$1:$I$1500,5,0)," ")</f>
        <v xml:space="preserve"> </v>
      </c>
      <c r="AE90" s="395">
        <f ca="1">IF(N(AA90)=0,9999,VLOOKUP(AA90,Hraci!$A$1:$I$1500,8,0))</f>
        <v>9999</v>
      </c>
      <c r="AF90" s="458">
        <f ca="1">IF(N(AA90)=0,0,VLOOKUP(AA90,Hraci!$A$1:$I$1500,9,0))</f>
        <v>0</v>
      </c>
      <c r="AG90" s="459"/>
      <c r="AH90" s="465">
        <f ca="1">IF(TYPE(VLOOKUP(H90,Nasazení!$A$3:$E$130,5,0))&lt;4,VLOOKUP(H90,Nasazení!$A$3:$E$130,5,0),0)</f>
        <v>0</v>
      </c>
      <c r="AI90" s="460" t="str">
        <f ca="1">IF(N($AH90)&gt;0,VLOOKUP($AH90,Body!$A$4:$F$259,5,0),"")</f>
        <v/>
      </c>
      <c r="AJ90" s="461" t="str">
        <f ca="1">IF(N($AH90)&gt;0,VLOOKUP($AH90,Body!$A$4:$F$259,6,0),"")</f>
        <v/>
      </c>
      <c r="AK90" s="460" t="str">
        <f ca="1">IF(N($AH90)&gt;0,VLOOKUP($AH90,Body!$A$4:$F$259,2,0),"")</f>
        <v/>
      </c>
      <c r="AL90" s="462" t="str">
        <f t="shared" ca="1" si="42"/>
        <v/>
      </c>
      <c r="AM90" s="463">
        <f t="shared" ca="1" si="43"/>
        <v>0</v>
      </c>
      <c r="AN90" s="395">
        <f ca="1">IF(OR(TYPE(I90)&gt;1,TYPE(MATCH(I90,I91:I$139,0))&gt;1),0,MATCH(I90,I91:I$139,0))+IF(OR(TYPE(I90)&gt;1,TYPE(MATCH(I90,O$11:O$139,0))&gt;1),0,MATCH(I90,O$11:O$139,0))+IF(OR(TYPE(I90)&gt;1,TYPE(MATCH(I90,U$11:U$139,0))&gt;1),0,MATCH(I90,U$11:U$139,0))+IF(OR(TYPE(I90)&gt;1,TYPE(MATCH(I90,AA$11:AA$139,0))&gt;1),0,MATCH(I90,AA$11:AA$139,0))</f>
        <v>0</v>
      </c>
      <c r="AO90" s="395">
        <f ca="1">IF(OR(TYPE(O90)&gt;1,TYPE(MATCH(O90,I$11:I$139,0))&gt;1),0,MATCH(O90,I$11:I$139,0))+IF(OR(TYPE(O90)&gt;1,TYPE(MATCH(O90,O91:O$139,0))&gt;1),0,MATCH(O90,O91:O$139,0))+IF(OR(TYPE(O90)&gt;1,TYPE(MATCH(O90,U$11:U$139,0))&gt;1),0,MATCH(O90,U$11:U$139,0))+IF(OR(TYPE(O90)&gt;1,TYPE(MATCH(O90,AA$11:AA$139,0))&gt;1),0,MATCH(O90,AA$11:AA$139,0))</f>
        <v>0</v>
      </c>
      <c r="AP90" s="395">
        <f ca="1">IF(OR(TYPE(U90)&gt;1,TYPE(MATCH(U90,I$11:I$139,0))&gt;1),0,MATCH(U90,I$11:I$139,0))+IF(OR(TYPE(U90)&gt;1,TYPE(MATCH(U90,O$11:O$139,0))&gt;1),0,MATCH(U90,O$11:O$139,0))+IF(OR(TYPE(U90)&gt;1,TYPE(MATCH(U90,U91:U$139,0))&gt;1),0,MATCH(U90,U91:U$139,0))+IF(OR(TYPE(U90)&gt;1,TYPE(MATCH(U90,AA$11:AA$139,0))&gt;1),0,MATCH(U90,AA$11:AA$139,0))</f>
        <v>0</v>
      </c>
      <c r="AQ90" s="395">
        <f ca="1">IF(OR(TYPE(AA90)&gt;1,TYPE(MATCH(AA90,I$11:I$139,0))&gt;1),0,MATCH(AA90,I$11:I$139,0))+IF(OR(TYPE(AA90)&gt;1,TYPE(MATCH(AA90,O$11:O$139,0))&gt;1),0,MATCH(AA90,O$11:O$139,0))+IF(OR(TYPE(AA90)&gt;1,TYPE(MATCH(AA90,U$11:U$139,0))&gt;1),0,MATCH(U90,U$11:U$139,0))+IF(OR(TYPE(AA90)&gt;1,TYPE(MATCH(AA90,AA91:AA$139,0))&gt;1),0,MATCH(AA90,AA91:AA$139,0))</f>
        <v>0</v>
      </c>
      <c r="AR90" s="395">
        <f t="shared" ca="1" si="44"/>
        <v>0</v>
      </c>
      <c r="BF90" s="395">
        <f t="shared" si="45"/>
        <v>80</v>
      </c>
    </row>
    <row r="91" spans="1:58" ht="12.9">
      <c r="A91" s="387">
        <f t="shared" ca="1" si="30"/>
        <v>0</v>
      </c>
      <c r="B91" s="387">
        <f t="shared" ca="1" si="31"/>
        <v>0</v>
      </c>
      <c r="C91" s="387">
        <f t="shared" ca="1" si="32"/>
        <v>0</v>
      </c>
      <c r="D91" s="387">
        <f t="shared" ca="1" si="33"/>
        <v>99999</v>
      </c>
      <c r="E91" s="387">
        <f t="shared" ca="1" si="34"/>
        <v>9999</v>
      </c>
      <c r="F91" s="417" t="str">
        <f t="shared" ca="1" si="35"/>
        <v>00000000000000000000467588</v>
      </c>
      <c r="G91" s="453" t="b">
        <f t="shared" ca="1" si="36"/>
        <v>1</v>
      </c>
      <c r="H91" s="454">
        <f t="shared" si="37"/>
        <v>81</v>
      </c>
      <c r="I91" s="455" t="str">
        <f t="shared" ca="1" si="38"/>
        <v/>
      </c>
      <c r="J91" s="456" t="str">
        <f ca="1">IF(N(I91)&gt;0,VLOOKUP(I91,Hraci!$A$1:$I$1500,2,0),IF(TYPE(INDIRECT(ADDRESS(ROW() + $A$9-9 + (ROW()-11)*4,2,1,1,"Internet")))&gt;1,INDIRECT(ADDRESS(ROW() + $A$9-9 + (ROW()-11)*4,2,1,1,"Internet"))," "))</f>
        <v xml:space="preserve"> </v>
      </c>
      <c r="K91" s="457" t="str">
        <f ca="1">IF(N(I91)&gt;0,VLOOKUP(I91,Hraci!$A$1:$I$1500,3,0)," ")</f>
        <v xml:space="preserve"> </v>
      </c>
      <c r="L91" s="457" t="str">
        <f ca="1">IF(N(I91)&gt;0,VLOOKUP(I91,Hraci!$A$1:$I$1500,5,0),IF(TYPE(INDIRECT(ADDRESS(ROW() + $A$9-9 + (ROW()-11)*4,3,1,1,"Internet")))&gt;1,INDIRECT(ADDRESS(ROW() + $A$9-9 + (ROW()-11)*4,3,1,1,"Internet"))," "))</f>
        <v xml:space="preserve"> </v>
      </c>
      <c r="M91" s="395">
        <f ca="1">IF(N(I91)=0,9999,VLOOKUP(I91,Hraci!$A$1:$I$1500,8,0))</f>
        <v>9999</v>
      </c>
      <c r="N91" s="458">
        <f ca="1">IF(N(I91)=0,0,VLOOKUP(I91,Hraci!$A$1:$I$1500,9,0))</f>
        <v>0</v>
      </c>
      <c r="O91" s="455" t="str">
        <f t="shared" ca="1" si="39"/>
        <v/>
      </c>
      <c r="P91" s="456" t="str">
        <f ca="1">IF(N(O91)&gt;0,VLOOKUP(O91,Hraci!$A$1:$I$1500,2,0),IF(TYPE(INDIRECT(ADDRESS(ROW() + $A$9-8 + (ROW()-11)*4,2,1,1,"Internet")))&gt;1,INDIRECT(ADDRESS(ROW() + $A$9-8 + (ROW()-11)*4,2,1,1,"Internet"))," "))</f>
        <v xml:space="preserve"> </v>
      </c>
      <c r="Q91" s="457" t="str">
        <f ca="1">IF(N(O91)&gt;0,VLOOKUP(O91,Hraci!$A$1:$I$1500,3,0)," ")</f>
        <v xml:space="preserve"> </v>
      </c>
      <c r="R91" s="457" t="str">
        <f ca="1">IF(N(O91)&gt;0,VLOOKUP(O91,Hraci!$A$1:$I$1500,5,0),IF(TYPE(INDIRECT(ADDRESS(ROW() + $A$9-8 + (ROW()-11)*4,3,1,1,"Internet")))&gt;1,INDIRECT(ADDRESS(ROW() + $A$9-8 + (ROW()-11)*4,3,1,1,"Internet"))," "))</f>
        <v xml:space="preserve"> </v>
      </c>
      <c r="S91" s="395">
        <f ca="1">IF(N(O91)=0,9999,VLOOKUP(O91,Hraci!$A$1:$I$1500,8,0))</f>
        <v>9999</v>
      </c>
      <c r="T91" s="458">
        <f ca="1">IF(N(O91)=0,0,VLOOKUP(O91,Hraci!$A$1:$I$1500,9,0))</f>
        <v>0</v>
      </c>
      <c r="U91" s="455" t="str">
        <f t="shared" ca="1" si="40"/>
        <v/>
      </c>
      <c r="V91" s="456" t="str">
        <f ca="1">IF(N(U91)&gt;0,VLOOKUP(U91,Hraci!$A$1:$I$1500,2,0),IF(TYPE(INDIRECT(ADDRESS(ROW() + $A$9-7 + (ROW()-11)*4,2,1,1,"Internet")))&gt;1,INDIRECT(ADDRESS(ROW() + $A$9-7 + (ROW()-11)*4,2,1,1,"Internet"))," "))</f>
        <v xml:space="preserve"> </v>
      </c>
      <c r="W91" s="457" t="str">
        <f ca="1">IF(N(U91)&gt;0,VLOOKUP(U91,Hraci!$A$1:$I$1500,3,0)," ")</f>
        <v xml:space="preserve"> </v>
      </c>
      <c r="X91" s="457" t="str">
        <f ca="1">IF(N(U91)&gt;0,VLOOKUP(U91,Hraci!$A$1:$I$1500,5,0),IF(TYPE(INDIRECT(ADDRESS(ROW() + $A$9-7 + (ROW()-11)*4,3,1,1,"Internet")))&gt;1,INDIRECT(ADDRESS(ROW() + $A$9-7 + (ROW()-11)*4,3,1,1,"Internet"))," "))</f>
        <v xml:space="preserve"> </v>
      </c>
      <c r="Y91" s="395">
        <f ca="1">IF(N(U91)=0,9999,VLOOKUP(U91,Hraci!$A$1:$I$1500,8,0))</f>
        <v>9999</v>
      </c>
      <c r="Z91" s="458">
        <f ca="1">IF(N(U91)=0,0,VLOOKUP(U91,Hraci!$A$1:$I$1500,9,0))</f>
        <v>0</v>
      </c>
      <c r="AA91" s="455" t="str">
        <f t="shared" ca="1" si="41"/>
        <v/>
      </c>
      <c r="AB91" s="456" t="str">
        <f ca="1">IF(N(AA91)&gt;0,VLOOKUP(AA91,Hraci!$A$1:$I$1500,2,0)," ")</f>
        <v xml:space="preserve"> </v>
      </c>
      <c r="AC91" s="457" t="str">
        <f ca="1">IF(N(AA91)&gt;0,VLOOKUP(AA91,Hraci!$A$1:$I$1500,3,0)," ")</f>
        <v xml:space="preserve"> </v>
      </c>
      <c r="AD91" s="457" t="str">
        <f ca="1">IF(N(AA91)&gt;0,VLOOKUP(AA91,Hraci!$A$1:$I$1500,5,0)," ")</f>
        <v xml:space="preserve"> </v>
      </c>
      <c r="AE91" s="395">
        <f ca="1">IF(N(AA91)=0,9999,VLOOKUP(AA91,Hraci!$A$1:$I$1500,8,0))</f>
        <v>9999</v>
      </c>
      <c r="AF91" s="458">
        <f ca="1">IF(N(AA91)=0,0,VLOOKUP(AA91,Hraci!$A$1:$I$1500,9,0))</f>
        <v>0</v>
      </c>
      <c r="AG91" s="459"/>
      <c r="AH91" s="465">
        <f ca="1">IF(TYPE(VLOOKUP(H91,Nasazení!$A$3:$E$130,5,0))&lt;4,VLOOKUP(H91,Nasazení!$A$3:$E$130,5,0),0)</f>
        <v>0</v>
      </c>
      <c r="AI91" s="460" t="str">
        <f ca="1">IF(N($AH91)&gt;0,VLOOKUP($AH91,Body!$A$4:$F$259,5,0),"")</f>
        <v/>
      </c>
      <c r="AJ91" s="461" t="str">
        <f ca="1">IF(N($AH91)&gt;0,VLOOKUP($AH91,Body!$A$4:$F$259,6,0),"")</f>
        <v/>
      </c>
      <c r="AK91" s="460" t="str">
        <f ca="1">IF(N($AH91)&gt;0,VLOOKUP($AH91,Body!$A$4:$F$259,2,0),"")</f>
        <v/>
      </c>
      <c r="AL91" s="462" t="str">
        <f t="shared" ca="1" si="42"/>
        <v/>
      </c>
      <c r="AM91" s="463">
        <f t="shared" ca="1" si="43"/>
        <v>0</v>
      </c>
      <c r="AN91" s="395">
        <f ca="1">IF(OR(TYPE(I91)&gt;1,TYPE(MATCH(I91,I92:I$139,0))&gt;1),0,MATCH(I91,I92:I$139,0))+IF(OR(TYPE(I91)&gt;1,TYPE(MATCH(I91,O$11:O$139,0))&gt;1),0,MATCH(I91,O$11:O$139,0))+IF(OR(TYPE(I91)&gt;1,TYPE(MATCH(I91,U$11:U$139,0))&gt;1),0,MATCH(I91,U$11:U$139,0))+IF(OR(TYPE(I91)&gt;1,TYPE(MATCH(I91,AA$11:AA$139,0))&gt;1),0,MATCH(I91,AA$11:AA$139,0))</f>
        <v>0</v>
      </c>
      <c r="AO91" s="395">
        <f ca="1">IF(OR(TYPE(O91)&gt;1,TYPE(MATCH(O91,I$11:I$139,0))&gt;1),0,MATCH(O91,I$11:I$139,0))+IF(OR(TYPE(O91)&gt;1,TYPE(MATCH(O91,O92:O$139,0))&gt;1),0,MATCH(O91,O92:O$139,0))+IF(OR(TYPE(O91)&gt;1,TYPE(MATCH(O91,U$11:U$139,0))&gt;1),0,MATCH(O91,U$11:U$139,0))+IF(OR(TYPE(O91)&gt;1,TYPE(MATCH(O91,AA$11:AA$139,0))&gt;1),0,MATCH(O91,AA$11:AA$139,0))</f>
        <v>0</v>
      </c>
      <c r="AP91" s="395">
        <f ca="1">IF(OR(TYPE(U91)&gt;1,TYPE(MATCH(U91,I$11:I$139,0))&gt;1),0,MATCH(U91,I$11:I$139,0))+IF(OR(TYPE(U91)&gt;1,TYPE(MATCH(U91,O$11:O$139,0))&gt;1),0,MATCH(U91,O$11:O$139,0))+IF(OR(TYPE(U91)&gt;1,TYPE(MATCH(U91,U92:U$139,0))&gt;1),0,MATCH(U91,U92:U$139,0))+IF(OR(TYPE(U91)&gt;1,TYPE(MATCH(U91,AA$11:AA$139,0))&gt;1),0,MATCH(U91,AA$11:AA$139,0))</f>
        <v>0</v>
      </c>
      <c r="AQ91" s="395">
        <f ca="1">IF(OR(TYPE(AA91)&gt;1,TYPE(MATCH(AA91,I$11:I$139,0))&gt;1),0,MATCH(AA91,I$11:I$139,0))+IF(OR(TYPE(AA91)&gt;1,TYPE(MATCH(AA91,O$11:O$139,0))&gt;1),0,MATCH(AA91,O$11:O$139,0))+IF(OR(TYPE(AA91)&gt;1,TYPE(MATCH(AA91,U$11:U$139,0))&gt;1),0,MATCH(U91,U$11:U$139,0))+IF(OR(TYPE(AA91)&gt;1,TYPE(MATCH(AA91,AA92:AA$139,0))&gt;1),0,MATCH(AA91,AA92:AA$139,0))</f>
        <v>0</v>
      </c>
      <c r="AR91" s="395">
        <f t="shared" ca="1" si="44"/>
        <v>0</v>
      </c>
      <c r="BF91" s="395">
        <f t="shared" si="45"/>
        <v>81</v>
      </c>
    </row>
    <row r="92" spans="1:58" ht="12.9">
      <c r="A92" s="387">
        <f t="shared" ca="1" si="30"/>
        <v>0</v>
      </c>
      <c r="B92" s="387">
        <f t="shared" ca="1" si="31"/>
        <v>0</v>
      </c>
      <c r="C92" s="387">
        <f t="shared" ca="1" si="32"/>
        <v>0</v>
      </c>
      <c r="D92" s="387">
        <f t="shared" ca="1" si="33"/>
        <v>99999</v>
      </c>
      <c r="E92" s="387">
        <f t="shared" ca="1" si="34"/>
        <v>9999</v>
      </c>
      <c r="F92" s="417" t="str">
        <f t="shared" ca="1" si="35"/>
        <v>00000000000000000000646700</v>
      </c>
      <c r="G92" s="453" t="b">
        <f t="shared" ca="1" si="36"/>
        <v>1</v>
      </c>
      <c r="H92" s="454">
        <f t="shared" si="37"/>
        <v>82</v>
      </c>
      <c r="I92" s="455" t="str">
        <f t="shared" ca="1" si="38"/>
        <v/>
      </c>
      <c r="J92" s="456" t="str">
        <f ca="1">IF(N(I92)&gt;0,VLOOKUP(I92,Hraci!$A$1:$I$1500,2,0),IF(TYPE(INDIRECT(ADDRESS(ROW() + $A$9-9 + (ROW()-11)*4,2,1,1,"Internet")))&gt;1,INDIRECT(ADDRESS(ROW() + $A$9-9 + (ROW()-11)*4,2,1,1,"Internet"))," "))</f>
        <v xml:space="preserve"> </v>
      </c>
      <c r="K92" s="457" t="str">
        <f ca="1">IF(N(I92)&gt;0,VLOOKUP(I92,Hraci!$A$1:$I$1500,3,0)," ")</f>
        <v xml:space="preserve"> </v>
      </c>
      <c r="L92" s="457" t="str">
        <f ca="1">IF(N(I92)&gt;0,VLOOKUP(I92,Hraci!$A$1:$I$1500,5,0),IF(TYPE(INDIRECT(ADDRESS(ROW() + $A$9-9 + (ROW()-11)*4,3,1,1,"Internet")))&gt;1,INDIRECT(ADDRESS(ROW() + $A$9-9 + (ROW()-11)*4,3,1,1,"Internet"))," "))</f>
        <v xml:space="preserve"> </v>
      </c>
      <c r="M92" s="395">
        <f ca="1">IF(N(I92)=0,9999,VLOOKUP(I92,Hraci!$A$1:$I$1500,8,0))</f>
        <v>9999</v>
      </c>
      <c r="N92" s="458">
        <f ca="1">IF(N(I92)=0,0,VLOOKUP(I92,Hraci!$A$1:$I$1500,9,0))</f>
        <v>0</v>
      </c>
      <c r="O92" s="455" t="str">
        <f t="shared" ca="1" si="39"/>
        <v/>
      </c>
      <c r="P92" s="456" t="str">
        <f ca="1">IF(N(O92)&gt;0,VLOOKUP(O92,Hraci!$A$1:$I$1500,2,0),IF(TYPE(INDIRECT(ADDRESS(ROW() + $A$9-8 + (ROW()-11)*4,2,1,1,"Internet")))&gt;1,INDIRECT(ADDRESS(ROW() + $A$9-8 + (ROW()-11)*4,2,1,1,"Internet"))," "))</f>
        <v xml:space="preserve"> </v>
      </c>
      <c r="Q92" s="457" t="str">
        <f ca="1">IF(N(O92)&gt;0,VLOOKUP(O92,Hraci!$A$1:$I$1500,3,0)," ")</f>
        <v xml:space="preserve"> </v>
      </c>
      <c r="R92" s="457" t="str">
        <f ca="1">IF(N(O92)&gt;0,VLOOKUP(O92,Hraci!$A$1:$I$1500,5,0),IF(TYPE(INDIRECT(ADDRESS(ROW() + $A$9-8 + (ROW()-11)*4,3,1,1,"Internet")))&gt;1,INDIRECT(ADDRESS(ROW() + $A$9-8 + (ROW()-11)*4,3,1,1,"Internet"))," "))</f>
        <v xml:space="preserve"> </v>
      </c>
      <c r="S92" s="395">
        <f ca="1">IF(N(O92)=0,9999,VLOOKUP(O92,Hraci!$A$1:$I$1500,8,0))</f>
        <v>9999</v>
      </c>
      <c r="T92" s="458">
        <f ca="1">IF(N(O92)=0,0,VLOOKUP(O92,Hraci!$A$1:$I$1500,9,0))</f>
        <v>0</v>
      </c>
      <c r="U92" s="455" t="str">
        <f t="shared" ca="1" si="40"/>
        <v/>
      </c>
      <c r="V92" s="456" t="str">
        <f ca="1">IF(N(U92)&gt;0,VLOOKUP(U92,Hraci!$A$1:$I$1500,2,0),IF(TYPE(INDIRECT(ADDRESS(ROW() + $A$9-7 + (ROW()-11)*4,2,1,1,"Internet")))&gt;1,INDIRECT(ADDRESS(ROW() + $A$9-7 + (ROW()-11)*4,2,1,1,"Internet"))," "))</f>
        <v xml:space="preserve"> </v>
      </c>
      <c r="W92" s="457" t="str">
        <f ca="1">IF(N(U92)&gt;0,VLOOKUP(U92,Hraci!$A$1:$I$1500,3,0)," ")</f>
        <v xml:space="preserve"> </v>
      </c>
      <c r="X92" s="457" t="str">
        <f ca="1">IF(N(U92)&gt;0,VLOOKUP(U92,Hraci!$A$1:$I$1500,5,0),IF(TYPE(INDIRECT(ADDRESS(ROW() + $A$9-7 + (ROW()-11)*4,3,1,1,"Internet")))&gt;1,INDIRECT(ADDRESS(ROW() + $A$9-7 + (ROW()-11)*4,3,1,1,"Internet"))," "))</f>
        <v xml:space="preserve"> </v>
      </c>
      <c r="Y92" s="395">
        <f ca="1">IF(N(U92)=0,9999,VLOOKUP(U92,Hraci!$A$1:$I$1500,8,0))</f>
        <v>9999</v>
      </c>
      <c r="Z92" s="458">
        <f ca="1">IF(N(U92)=0,0,VLOOKUP(U92,Hraci!$A$1:$I$1500,9,0))</f>
        <v>0</v>
      </c>
      <c r="AA92" s="455" t="str">
        <f t="shared" ca="1" si="41"/>
        <v/>
      </c>
      <c r="AB92" s="456" t="str">
        <f ca="1">IF(N(AA92)&gt;0,VLOOKUP(AA92,Hraci!$A$1:$I$1500,2,0)," ")</f>
        <v xml:space="preserve"> </v>
      </c>
      <c r="AC92" s="457" t="str">
        <f ca="1">IF(N(AA92)&gt;0,VLOOKUP(AA92,Hraci!$A$1:$I$1500,3,0)," ")</f>
        <v xml:space="preserve"> </v>
      </c>
      <c r="AD92" s="457" t="str">
        <f ca="1">IF(N(AA92)&gt;0,VLOOKUP(AA92,Hraci!$A$1:$I$1500,5,0)," ")</f>
        <v xml:space="preserve"> </v>
      </c>
      <c r="AE92" s="395">
        <f ca="1">IF(N(AA92)=0,9999,VLOOKUP(AA92,Hraci!$A$1:$I$1500,8,0))</f>
        <v>9999</v>
      </c>
      <c r="AF92" s="458">
        <f ca="1">IF(N(AA92)=0,0,VLOOKUP(AA92,Hraci!$A$1:$I$1500,9,0))</f>
        <v>0</v>
      </c>
      <c r="AG92" s="459"/>
      <c r="AH92" s="465">
        <f ca="1">IF(TYPE(VLOOKUP(H92,Nasazení!$A$3:$E$130,5,0))&lt;4,VLOOKUP(H92,Nasazení!$A$3:$E$130,5,0),0)</f>
        <v>0</v>
      </c>
      <c r="AI92" s="460" t="str">
        <f ca="1">IF(N($AH92)&gt;0,VLOOKUP($AH92,Body!$A$4:$F$259,5,0),"")</f>
        <v/>
      </c>
      <c r="AJ92" s="461" t="str">
        <f ca="1">IF(N($AH92)&gt;0,VLOOKUP($AH92,Body!$A$4:$F$259,6,0),"")</f>
        <v/>
      </c>
      <c r="AK92" s="460" t="str">
        <f ca="1">IF(N($AH92)&gt;0,VLOOKUP($AH92,Body!$A$4:$F$259,2,0),"")</f>
        <v/>
      </c>
      <c r="AL92" s="462" t="str">
        <f t="shared" ca="1" si="42"/>
        <v/>
      </c>
      <c r="AM92" s="463">
        <f t="shared" ca="1" si="43"/>
        <v>0</v>
      </c>
      <c r="AN92" s="395">
        <f ca="1">IF(OR(TYPE(I92)&gt;1,TYPE(MATCH(I92,I93:I$139,0))&gt;1),0,MATCH(I92,I93:I$139,0))+IF(OR(TYPE(I92)&gt;1,TYPE(MATCH(I92,O$11:O$139,0))&gt;1),0,MATCH(I92,O$11:O$139,0))+IF(OR(TYPE(I92)&gt;1,TYPE(MATCH(I92,U$11:U$139,0))&gt;1),0,MATCH(I92,U$11:U$139,0))+IF(OR(TYPE(I92)&gt;1,TYPE(MATCH(I92,AA$11:AA$139,0))&gt;1),0,MATCH(I92,AA$11:AA$139,0))</f>
        <v>0</v>
      </c>
      <c r="AO92" s="395">
        <f ca="1">IF(OR(TYPE(O92)&gt;1,TYPE(MATCH(O92,I$11:I$139,0))&gt;1),0,MATCH(O92,I$11:I$139,0))+IF(OR(TYPE(O92)&gt;1,TYPE(MATCH(O92,O93:O$139,0))&gt;1),0,MATCH(O92,O93:O$139,0))+IF(OR(TYPE(O92)&gt;1,TYPE(MATCH(O92,U$11:U$139,0))&gt;1),0,MATCH(O92,U$11:U$139,0))+IF(OR(TYPE(O92)&gt;1,TYPE(MATCH(O92,AA$11:AA$139,0))&gt;1),0,MATCH(O92,AA$11:AA$139,0))</f>
        <v>0</v>
      </c>
      <c r="AP92" s="395">
        <f ca="1">IF(OR(TYPE(U92)&gt;1,TYPE(MATCH(U92,I$11:I$139,0))&gt;1),0,MATCH(U92,I$11:I$139,0))+IF(OR(TYPE(U92)&gt;1,TYPE(MATCH(U92,O$11:O$139,0))&gt;1),0,MATCH(U92,O$11:O$139,0))+IF(OR(TYPE(U92)&gt;1,TYPE(MATCH(U92,U93:U$139,0))&gt;1),0,MATCH(U92,U93:U$139,0))+IF(OR(TYPE(U92)&gt;1,TYPE(MATCH(U92,AA$11:AA$139,0))&gt;1),0,MATCH(U92,AA$11:AA$139,0))</f>
        <v>0</v>
      </c>
      <c r="AQ92" s="395">
        <f ca="1">IF(OR(TYPE(AA92)&gt;1,TYPE(MATCH(AA92,I$11:I$139,0))&gt;1),0,MATCH(AA92,I$11:I$139,0))+IF(OR(TYPE(AA92)&gt;1,TYPE(MATCH(AA92,O$11:O$139,0))&gt;1),0,MATCH(AA92,O$11:O$139,0))+IF(OR(TYPE(AA92)&gt;1,TYPE(MATCH(AA92,U$11:U$139,0))&gt;1),0,MATCH(U92,U$11:U$139,0))+IF(OR(TYPE(AA92)&gt;1,TYPE(MATCH(AA92,AA93:AA$139,0))&gt;1),0,MATCH(AA92,AA93:AA$139,0))</f>
        <v>0</v>
      </c>
      <c r="AR92" s="395">
        <f t="shared" ca="1" si="44"/>
        <v>0</v>
      </c>
      <c r="BF92" s="395">
        <f t="shared" si="45"/>
        <v>82</v>
      </c>
    </row>
    <row r="93" spans="1:58" ht="12.9">
      <c r="A93" s="387">
        <f t="shared" ca="1" si="30"/>
        <v>0</v>
      </c>
      <c r="B93" s="387">
        <f t="shared" ca="1" si="31"/>
        <v>0</v>
      </c>
      <c r="C93" s="387">
        <f t="shared" ca="1" si="32"/>
        <v>0</v>
      </c>
      <c r="D93" s="387">
        <f t="shared" ca="1" si="33"/>
        <v>99999</v>
      </c>
      <c r="E93" s="387">
        <f t="shared" ca="1" si="34"/>
        <v>9999</v>
      </c>
      <c r="F93" s="417" t="str">
        <f t="shared" ca="1" si="35"/>
        <v>00000000000000000000726476</v>
      </c>
      <c r="G93" s="453" t="b">
        <f t="shared" ca="1" si="36"/>
        <v>1</v>
      </c>
      <c r="H93" s="454">
        <f t="shared" si="37"/>
        <v>83</v>
      </c>
      <c r="I93" s="455" t="str">
        <f t="shared" ca="1" si="38"/>
        <v/>
      </c>
      <c r="J93" s="456" t="str">
        <f ca="1">IF(N(I93)&gt;0,VLOOKUP(I93,Hraci!$A$1:$I$1500,2,0),IF(TYPE(INDIRECT(ADDRESS(ROW() + $A$9-9 + (ROW()-11)*4,2,1,1,"Internet")))&gt;1,INDIRECT(ADDRESS(ROW() + $A$9-9 + (ROW()-11)*4,2,1,1,"Internet"))," "))</f>
        <v xml:space="preserve"> </v>
      </c>
      <c r="K93" s="457" t="str">
        <f ca="1">IF(N(I93)&gt;0,VLOOKUP(I93,Hraci!$A$1:$I$1500,3,0)," ")</f>
        <v xml:space="preserve"> </v>
      </c>
      <c r="L93" s="457" t="str">
        <f ca="1">IF(N(I93)&gt;0,VLOOKUP(I93,Hraci!$A$1:$I$1500,5,0),IF(TYPE(INDIRECT(ADDRESS(ROW() + $A$9-9 + (ROW()-11)*4,3,1,1,"Internet")))&gt;1,INDIRECT(ADDRESS(ROW() + $A$9-9 + (ROW()-11)*4,3,1,1,"Internet"))," "))</f>
        <v xml:space="preserve"> </v>
      </c>
      <c r="M93" s="395">
        <f ca="1">IF(N(I93)=0,9999,VLOOKUP(I93,Hraci!$A$1:$I$1500,8,0))</f>
        <v>9999</v>
      </c>
      <c r="N93" s="458">
        <f ca="1">IF(N(I93)=0,0,VLOOKUP(I93,Hraci!$A$1:$I$1500,9,0))</f>
        <v>0</v>
      </c>
      <c r="O93" s="455" t="str">
        <f t="shared" ca="1" si="39"/>
        <v/>
      </c>
      <c r="P93" s="456" t="str">
        <f ca="1">IF(N(O93)&gt;0,VLOOKUP(O93,Hraci!$A$1:$I$1500,2,0),IF(TYPE(INDIRECT(ADDRESS(ROW() + $A$9-8 + (ROW()-11)*4,2,1,1,"Internet")))&gt;1,INDIRECT(ADDRESS(ROW() + $A$9-8 + (ROW()-11)*4,2,1,1,"Internet"))," "))</f>
        <v xml:space="preserve"> </v>
      </c>
      <c r="Q93" s="457" t="str">
        <f ca="1">IF(N(O93)&gt;0,VLOOKUP(O93,Hraci!$A$1:$I$1500,3,0)," ")</f>
        <v xml:space="preserve"> </v>
      </c>
      <c r="R93" s="457" t="str">
        <f ca="1">IF(N(O93)&gt;0,VLOOKUP(O93,Hraci!$A$1:$I$1500,5,0),IF(TYPE(INDIRECT(ADDRESS(ROW() + $A$9-8 + (ROW()-11)*4,3,1,1,"Internet")))&gt;1,INDIRECT(ADDRESS(ROW() + $A$9-8 + (ROW()-11)*4,3,1,1,"Internet"))," "))</f>
        <v xml:space="preserve"> </v>
      </c>
      <c r="S93" s="395">
        <f ca="1">IF(N(O93)=0,9999,VLOOKUP(O93,Hraci!$A$1:$I$1500,8,0))</f>
        <v>9999</v>
      </c>
      <c r="T93" s="458">
        <f ca="1">IF(N(O93)=0,0,VLOOKUP(O93,Hraci!$A$1:$I$1500,9,0))</f>
        <v>0</v>
      </c>
      <c r="U93" s="455" t="str">
        <f t="shared" ca="1" si="40"/>
        <v/>
      </c>
      <c r="V93" s="456" t="str">
        <f ca="1">IF(N(U93)&gt;0,VLOOKUP(U93,Hraci!$A$1:$I$1500,2,0),IF(TYPE(INDIRECT(ADDRESS(ROW() + $A$9-7 + (ROW()-11)*4,2,1,1,"Internet")))&gt;1,INDIRECT(ADDRESS(ROW() + $A$9-7 + (ROW()-11)*4,2,1,1,"Internet"))," "))</f>
        <v xml:space="preserve"> </v>
      </c>
      <c r="W93" s="457" t="str">
        <f ca="1">IF(N(U93)&gt;0,VLOOKUP(U93,Hraci!$A$1:$I$1500,3,0)," ")</f>
        <v xml:space="preserve"> </v>
      </c>
      <c r="X93" s="457" t="str">
        <f ca="1">IF(N(U93)&gt;0,VLOOKUP(U93,Hraci!$A$1:$I$1500,5,0),IF(TYPE(INDIRECT(ADDRESS(ROW() + $A$9-7 + (ROW()-11)*4,3,1,1,"Internet")))&gt;1,INDIRECT(ADDRESS(ROW() + $A$9-7 + (ROW()-11)*4,3,1,1,"Internet"))," "))</f>
        <v xml:space="preserve"> </v>
      </c>
      <c r="Y93" s="395">
        <f ca="1">IF(N(U93)=0,9999,VLOOKUP(U93,Hraci!$A$1:$I$1500,8,0))</f>
        <v>9999</v>
      </c>
      <c r="Z93" s="458">
        <f ca="1">IF(N(U93)=0,0,VLOOKUP(U93,Hraci!$A$1:$I$1500,9,0))</f>
        <v>0</v>
      </c>
      <c r="AA93" s="455" t="str">
        <f t="shared" ca="1" si="41"/>
        <v/>
      </c>
      <c r="AB93" s="456" t="str">
        <f ca="1">IF(N(AA93)&gt;0,VLOOKUP(AA93,Hraci!$A$1:$I$1500,2,0)," ")</f>
        <v xml:space="preserve"> </v>
      </c>
      <c r="AC93" s="457" t="str">
        <f ca="1">IF(N(AA93)&gt;0,VLOOKUP(AA93,Hraci!$A$1:$I$1500,3,0)," ")</f>
        <v xml:space="preserve"> </v>
      </c>
      <c r="AD93" s="457" t="str">
        <f ca="1">IF(N(AA93)&gt;0,VLOOKUP(AA93,Hraci!$A$1:$I$1500,5,0)," ")</f>
        <v xml:space="preserve"> </v>
      </c>
      <c r="AE93" s="395">
        <f ca="1">IF(N(AA93)=0,9999,VLOOKUP(AA93,Hraci!$A$1:$I$1500,8,0))</f>
        <v>9999</v>
      </c>
      <c r="AF93" s="458">
        <f ca="1">IF(N(AA93)=0,0,VLOOKUP(AA93,Hraci!$A$1:$I$1500,9,0))</f>
        <v>0</v>
      </c>
      <c r="AG93" s="459"/>
      <c r="AH93" s="465">
        <f ca="1">IF(TYPE(VLOOKUP(H93,Nasazení!$A$3:$E$130,5,0))&lt;4,VLOOKUP(H93,Nasazení!$A$3:$E$130,5,0),0)</f>
        <v>0</v>
      </c>
      <c r="AI93" s="460" t="str">
        <f ca="1">IF(N($AH93)&gt;0,VLOOKUP($AH93,Body!$A$4:$F$259,5,0),"")</f>
        <v/>
      </c>
      <c r="AJ93" s="461" t="str">
        <f ca="1">IF(N($AH93)&gt;0,VLOOKUP($AH93,Body!$A$4:$F$259,6,0),"")</f>
        <v/>
      </c>
      <c r="AK93" s="460" t="str">
        <f ca="1">IF(N($AH93)&gt;0,VLOOKUP($AH93,Body!$A$4:$F$259,2,0),"")</f>
        <v/>
      </c>
      <c r="AL93" s="462" t="str">
        <f t="shared" ca="1" si="42"/>
        <v/>
      </c>
      <c r="AM93" s="463">
        <f t="shared" ca="1" si="43"/>
        <v>0</v>
      </c>
      <c r="AN93" s="395">
        <f ca="1">IF(OR(TYPE(I93)&gt;1,TYPE(MATCH(I93,I94:I$139,0))&gt;1),0,MATCH(I93,I94:I$139,0))+IF(OR(TYPE(I93)&gt;1,TYPE(MATCH(I93,O$11:O$139,0))&gt;1),0,MATCH(I93,O$11:O$139,0))+IF(OR(TYPE(I93)&gt;1,TYPE(MATCH(I93,U$11:U$139,0))&gt;1),0,MATCH(I93,U$11:U$139,0))+IF(OR(TYPE(I93)&gt;1,TYPE(MATCH(I93,AA$11:AA$139,0))&gt;1),0,MATCH(I93,AA$11:AA$139,0))</f>
        <v>0</v>
      </c>
      <c r="AO93" s="395">
        <f ca="1">IF(OR(TYPE(O93)&gt;1,TYPE(MATCH(O93,I$11:I$139,0))&gt;1),0,MATCH(O93,I$11:I$139,0))+IF(OR(TYPE(O93)&gt;1,TYPE(MATCH(O93,O94:O$139,0))&gt;1),0,MATCH(O93,O94:O$139,0))+IF(OR(TYPE(O93)&gt;1,TYPE(MATCH(O93,U$11:U$139,0))&gt;1),0,MATCH(O93,U$11:U$139,0))+IF(OR(TYPE(O93)&gt;1,TYPE(MATCH(O93,AA$11:AA$139,0))&gt;1),0,MATCH(O93,AA$11:AA$139,0))</f>
        <v>0</v>
      </c>
      <c r="AP93" s="395">
        <f ca="1">IF(OR(TYPE(U93)&gt;1,TYPE(MATCH(U93,I$11:I$139,0))&gt;1),0,MATCH(U93,I$11:I$139,0))+IF(OR(TYPE(U93)&gt;1,TYPE(MATCH(U93,O$11:O$139,0))&gt;1),0,MATCH(U93,O$11:O$139,0))+IF(OR(TYPE(U93)&gt;1,TYPE(MATCH(U93,U94:U$139,0))&gt;1),0,MATCH(U93,U94:U$139,0))+IF(OR(TYPE(U93)&gt;1,TYPE(MATCH(U93,AA$11:AA$139,0))&gt;1),0,MATCH(U93,AA$11:AA$139,0))</f>
        <v>0</v>
      </c>
      <c r="AQ93" s="395">
        <f ca="1">IF(OR(TYPE(AA93)&gt;1,TYPE(MATCH(AA93,I$11:I$139,0))&gt;1),0,MATCH(AA93,I$11:I$139,0))+IF(OR(TYPE(AA93)&gt;1,TYPE(MATCH(AA93,O$11:O$139,0))&gt;1),0,MATCH(AA93,O$11:O$139,0))+IF(OR(TYPE(AA93)&gt;1,TYPE(MATCH(AA93,U$11:U$139,0))&gt;1),0,MATCH(U93,U$11:U$139,0))+IF(OR(TYPE(AA93)&gt;1,TYPE(MATCH(AA93,AA94:AA$139,0))&gt;1),0,MATCH(AA93,AA94:AA$139,0))</f>
        <v>0</v>
      </c>
      <c r="AR93" s="395">
        <f t="shared" ca="1" si="44"/>
        <v>0</v>
      </c>
      <c r="BF93" s="395">
        <f t="shared" si="45"/>
        <v>83</v>
      </c>
    </row>
    <row r="94" spans="1:58" ht="12.9">
      <c r="A94" s="387">
        <f t="shared" ca="1" si="30"/>
        <v>0</v>
      </c>
      <c r="B94" s="387">
        <f t="shared" ca="1" si="31"/>
        <v>0</v>
      </c>
      <c r="C94" s="387">
        <f t="shared" ca="1" si="32"/>
        <v>0</v>
      </c>
      <c r="D94" s="387">
        <f t="shared" ca="1" si="33"/>
        <v>99999</v>
      </c>
      <c r="E94" s="387">
        <f t="shared" ca="1" si="34"/>
        <v>9999</v>
      </c>
      <c r="F94" s="417" t="str">
        <f t="shared" ca="1" si="35"/>
        <v>00000000000000000000559594</v>
      </c>
      <c r="G94" s="453" t="b">
        <f t="shared" ca="1" si="36"/>
        <v>1</v>
      </c>
      <c r="H94" s="454">
        <f t="shared" si="37"/>
        <v>84</v>
      </c>
      <c r="I94" s="455" t="str">
        <f t="shared" ca="1" si="38"/>
        <v/>
      </c>
      <c r="J94" s="456" t="str">
        <f ca="1">IF(N(I94)&gt;0,VLOOKUP(I94,Hraci!$A$1:$I$1500,2,0),IF(TYPE(INDIRECT(ADDRESS(ROW() + $A$9-9 + (ROW()-11)*4,2,1,1,"Internet")))&gt;1,INDIRECT(ADDRESS(ROW() + $A$9-9 + (ROW()-11)*4,2,1,1,"Internet"))," "))</f>
        <v xml:space="preserve"> </v>
      </c>
      <c r="K94" s="457" t="str">
        <f ca="1">IF(N(I94)&gt;0,VLOOKUP(I94,Hraci!$A$1:$I$1500,3,0)," ")</f>
        <v xml:space="preserve"> </v>
      </c>
      <c r="L94" s="457" t="str">
        <f ca="1">IF(N(I94)&gt;0,VLOOKUP(I94,Hraci!$A$1:$I$1500,5,0),IF(TYPE(INDIRECT(ADDRESS(ROW() + $A$9-9 + (ROW()-11)*4,3,1,1,"Internet")))&gt;1,INDIRECT(ADDRESS(ROW() + $A$9-9 + (ROW()-11)*4,3,1,1,"Internet"))," "))</f>
        <v xml:space="preserve"> </v>
      </c>
      <c r="M94" s="395">
        <f ca="1">IF(N(I94)=0,9999,VLOOKUP(I94,Hraci!$A$1:$I$1500,8,0))</f>
        <v>9999</v>
      </c>
      <c r="N94" s="458">
        <f ca="1">IF(N(I94)=0,0,VLOOKUP(I94,Hraci!$A$1:$I$1500,9,0))</f>
        <v>0</v>
      </c>
      <c r="O94" s="455" t="str">
        <f t="shared" ca="1" si="39"/>
        <v/>
      </c>
      <c r="P94" s="456" t="str">
        <f ca="1">IF(N(O94)&gt;0,VLOOKUP(O94,Hraci!$A$1:$I$1500,2,0),IF(TYPE(INDIRECT(ADDRESS(ROW() + $A$9-8 + (ROW()-11)*4,2,1,1,"Internet")))&gt;1,INDIRECT(ADDRESS(ROW() + $A$9-8 + (ROW()-11)*4,2,1,1,"Internet"))," "))</f>
        <v xml:space="preserve"> </v>
      </c>
      <c r="Q94" s="457" t="str">
        <f ca="1">IF(N(O94)&gt;0,VLOOKUP(O94,Hraci!$A$1:$I$1500,3,0)," ")</f>
        <v xml:space="preserve"> </v>
      </c>
      <c r="R94" s="457" t="str">
        <f ca="1">IF(N(O94)&gt;0,VLOOKUP(O94,Hraci!$A$1:$I$1500,5,0),IF(TYPE(INDIRECT(ADDRESS(ROW() + $A$9-8 + (ROW()-11)*4,3,1,1,"Internet")))&gt;1,INDIRECT(ADDRESS(ROW() + $A$9-8 + (ROW()-11)*4,3,1,1,"Internet"))," "))</f>
        <v xml:space="preserve"> </v>
      </c>
      <c r="S94" s="395">
        <f ca="1">IF(N(O94)=0,9999,VLOOKUP(O94,Hraci!$A$1:$I$1500,8,0))</f>
        <v>9999</v>
      </c>
      <c r="T94" s="458">
        <f ca="1">IF(N(O94)=0,0,VLOOKUP(O94,Hraci!$A$1:$I$1500,9,0))</f>
        <v>0</v>
      </c>
      <c r="U94" s="455" t="str">
        <f t="shared" ca="1" si="40"/>
        <v/>
      </c>
      <c r="V94" s="456" t="str">
        <f ca="1">IF(N(U94)&gt;0,VLOOKUP(U94,Hraci!$A$1:$I$1500,2,0),IF(TYPE(INDIRECT(ADDRESS(ROW() + $A$9-7 + (ROW()-11)*4,2,1,1,"Internet")))&gt;1,INDIRECT(ADDRESS(ROW() + $A$9-7 + (ROW()-11)*4,2,1,1,"Internet"))," "))</f>
        <v xml:space="preserve"> </v>
      </c>
      <c r="W94" s="457" t="str">
        <f ca="1">IF(N(U94)&gt;0,VLOOKUP(U94,Hraci!$A$1:$I$1500,3,0)," ")</f>
        <v xml:space="preserve"> </v>
      </c>
      <c r="X94" s="457" t="str">
        <f ca="1">IF(N(U94)&gt;0,VLOOKUP(U94,Hraci!$A$1:$I$1500,5,0),IF(TYPE(INDIRECT(ADDRESS(ROW() + $A$9-7 + (ROW()-11)*4,3,1,1,"Internet")))&gt;1,INDIRECT(ADDRESS(ROW() + $A$9-7 + (ROW()-11)*4,3,1,1,"Internet"))," "))</f>
        <v xml:space="preserve"> </v>
      </c>
      <c r="Y94" s="395">
        <f ca="1">IF(N(U94)=0,9999,VLOOKUP(U94,Hraci!$A$1:$I$1500,8,0))</f>
        <v>9999</v>
      </c>
      <c r="Z94" s="458">
        <f ca="1">IF(N(U94)=0,0,VLOOKUP(U94,Hraci!$A$1:$I$1500,9,0))</f>
        <v>0</v>
      </c>
      <c r="AA94" s="455" t="str">
        <f t="shared" ca="1" si="41"/>
        <v/>
      </c>
      <c r="AB94" s="456" t="str">
        <f ca="1">IF(N(AA94)&gt;0,VLOOKUP(AA94,Hraci!$A$1:$I$1500,2,0)," ")</f>
        <v xml:space="preserve"> </v>
      </c>
      <c r="AC94" s="457" t="str">
        <f ca="1">IF(N(AA94)&gt;0,VLOOKUP(AA94,Hraci!$A$1:$I$1500,3,0)," ")</f>
        <v xml:space="preserve"> </v>
      </c>
      <c r="AD94" s="457" t="str">
        <f ca="1">IF(N(AA94)&gt;0,VLOOKUP(AA94,Hraci!$A$1:$I$1500,5,0)," ")</f>
        <v xml:space="preserve"> </v>
      </c>
      <c r="AE94" s="395">
        <f ca="1">IF(N(AA94)=0,9999,VLOOKUP(AA94,Hraci!$A$1:$I$1500,8,0))</f>
        <v>9999</v>
      </c>
      <c r="AF94" s="458">
        <f ca="1">IF(N(AA94)=0,0,VLOOKUP(AA94,Hraci!$A$1:$I$1500,9,0))</f>
        <v>0</v>
      </c>
      <c r="AG94" s="459"/>
      <c r="AH94" s="465">
        <f ca="1">IF(TYPE(VLOOKUP(H94,Nasazení!$A$3:$E$130,5,0))&lt;4,VLOOKUP(H94,Nasazení!$A$3:$E$130,5,0),0)</f>
        <v>0</v>
      </c>
      <c r="AI94" s="460" t="str">
        <f ca="1">IF(N($AH94)&gt;0,VLOOKUP($AH94,Body!$A$4:$F$259,5,0),"")</f>
        <v/>
      </c>
      <c r="AJ94" s="461" t="str">
        <f ca="1">IF(N($AH94)&gt;0,VLOOKUP($AH94,Body!$A$4:$F$259,6,0),"")</f>
        <v/>
      </c>
      <c r="AK94" s="460" t="str">
        <f ca="1">IF(N($AH94)&gt;0,VLOOKUP($AH94,Body!$A$4:$F$259,2,0),"")</f>
        <v/>
      </c>
      <c r="AL94" s="462" t="str">
        <f t="shared" ca="1" si="42"/>
        <v/>
      </c>
      <c r="AM94" s="463">
        <f t="shared" ca="1" si="43"/>
        <v>0</v>
      </c>
      <c r="AN94" s="395">
        <f ca="1">IF(OR(TYPE(I94)&gt;1,TYPE(MATCH(I94,I95:I$139,0))&gt;1),0,MATCH(I94,I95:I$139,0))+IF(OR(TYPE(I94)&gt;1,TYPE(MATCH(I94,O$11:O$139,0))&gt;1),0,MATCH(I94,O$11:O$139,0))+IF(OR(TYPE(I94)&gt;1,TYPE(MATCH(I94,U$11:U$139,0))&gt;1),0,MATCH(I94,U$11:U$139,0))+IF(OR(TYPE(I94)&gt;1,TYPE(MATCH(I94,AA$11:AA$139,0))&gt;1),0,MATCH(I94,AA$11:AA$139,0))</f>
        <v>0</v>
      </c>
      <c r="AO94" s="395">
        <f ca="1">IF(OR(TYPE(O94)&gt;1,TYPE(MATCH(O94,I$11:I$139,0))&gt;1),0,MATCH(O94,I$11:I$139,0))+IF(OR(TYPE(O94)&gt;1,TYPE(MATCH(O94,O95:O$139,0))&gt;1),0,MATCH(O94,O95:O$139,0))+IF(OR(TYPE(O94)&gt;1,TYPE(MATCH(O94,U$11:U$139,0))&gt;1),0,MATCH(O94,U$11:U$139,0))+IF(OR(TYPE(O94)&gt;1,TYPE(MATCH(O94,AA$11:AA$139,0))&gt;1),0,MATCH(O94,AA$11:AA$139,0))</f>
        <v>0</v>
      </c>
      <c r="AP94" s="395">
        <f ca="1">IF(OR(TYPE(U94)&gt;1,TYPE(MATCH(U94,I$11:I$139,0))&gt;1),0,MATCH(U94,I$11:I$139,0))+IF(OR(TYPE(U94)&gt;1,TYPE(MATCH(U94,O$11:O$139,0))&gt;1),0,MATCH(U94,O$11:O$139,0))+IF(OR(TYPE(U94)&gt;1,TYPE(MATCH(U94,U95:U$139,0))&gt;1),0,MATCH(U94,U95:U$139,0))+IF(OR(TYPE(U94)&gt;1,TYPE(MATCH(U94,AA$11:AA$139,0))&gt;1),0,MATCH(U94,AA$11:AA$139,0))</f>
        <v>0</v>
      </c>
      <c r="AQ94" s="395">
        <f ca="1">IF(OR(TYPE(AA94)&gt;1,TYPE(MATCH(AA94,I$11:I$139,0))&gt;1),0,MATCH(AA94,I$11:I$139,0))+IF(OR(TYPE(AA94)&gt;1,TYPE(MATCH(AA94,O$11:O$139,0))&gt;1),0,MATCH(AA94,O$11:O$139,0))+IF(OR(TYPE(AA94)&gt;1,TYPE(MATCH(AA94,U$11:U$139,0))&gt;1),0,MATCH(U94,U$11:U$139,0))+IF(OR(TYPE(AA94)&gt;1,TYPE(MATCH(AA94,AA95:AA$139,0))&gt;1),0,MATCH(AA94,AA95:AA$139,0))</f>
        <v>0</v>
      </c>
      <c r="AR94" s="395">
        <f t="shared" ca="1" si="44"/>
        <v>0</v>
      </c>
      <c r="BF94" s="395">
        <f t="shared" si="45"/>
        <v>84</v>
      </c>
    </row>
    <row r="95" spans="1:58" ht="12.9">
      <c r="A95" s="387">
        <f t="shared" ca="1" si="30"/>
        <v>0</v>
      </c>
      <c r="B95" s="387">
        <f t="shared" ca="1" si="31"/>
        <v>0</v>
      </c>
      <c r="C95" s="387">
        <f t="shared" ca="1" si="32"/>
        <v>0</v>
      </c>
      <c r="D95" s="387">
        <f t="shared" ca="1" si="33"/>
        <v>99999</v>
      </c>
      <c r="E95" s="387">
        <f t="shared" ca="1" si="34"/>
        <v>9999</v>
      </c>
      <c r="F95" s="417" t="str">
        <f t="shared" ca="1" si="35"/>
        <v>00000000000000000000024413</v>
      </c>
      <c r="G95" s="453" t="b">
        <f t="shared" ca="1" si="36"/>
        <v>1</v>
      </c>
      <c r="H95" s="454">
        <f t="shared" si="37"/>
        <v>85</v>
      </c>
      <c r="I95" s="455" t="str">
        <f t="shared" ca="1" si="38"/>
        <v/>
      </c>
      <c r="J95" s="456" t="str">
        <f ca="1">IF(N(I95)&gt;0,VLOOKUP(I95,Hraci!$A$1:$I$1500,2,0),IF(TYPE(INDIRECT(ADDRESS(ROW() + $A$9-9 + (ROW()-11)*4,2,1,1,"Internet")))&gt;1,INDIRECT(ADDRESS(ROW() + $A$9-9 + (ROW()-11)*4,2,1,1,"Internet"))," "))</f>
        <v xml:space="preserve"> </v>
      </c>
      <c r="K95" s="457" t="str">
        <f ca="1">IF(N(I95)&gt;0,VLOOKUP(I95,Hraci!$A$1:$I$1500,3,0)," ")</f>
        <v xml:space="preserve"> </v>
      </c>
      <c r="L95" s="457" t="str">
        <f ca="1">IF(N(I95)&gt;0,VLOOKUP(I95,Hraci!$A$1:$I$1500,5,0),IF(TYPE(INDIRECT(ADDRESS(ROW() + $A$9-9 + (ROW()-11)*4,3,1,1,"Internet")))&gt;1,INDIRECT(ADDRESS(ROW() + $A$9-9 + (ROW()-11)*4,3,1,1,"Internet"))," "))</f>
        <v xml:space="preserve"> </v>
      </c>
      <c r="M95" s="395">
        <f ca="1">IF(N(I95)=0,9999,VLOOKUP(I95,Hraci!$A$1:$I$1500,8,0))</f>
        <v>9999</v>
      </c>
      <c r="N95" s="458">
        <f ca="1">IF(N(I95)=0,0,VLOOKUP(I95,Hraci!$A$1:$I$1500,9,0))</f>
        <v>0</v>
      </c>
      <c r="O95" s="455" t="str">
        <f t="shared" ca="1" si="39"/>
        <v/>
      </c>
      <c r="P95" s="456" t="str">
        <f ca="1">IF(N(O95)&gt;0,VLOOKUP(O95,Hraci!$A$1:$I$1500,2,0),IF(TYPE(INDIRECT(ADDRESS(ROW() + $A$9-8 + (ROW()-11)*4,2,1,1,"Internet")))&gt;1,INDIRECT(ADDRESS(ROW() + $A$9-8 + (ROW()-11)*4,2,1,1,"Internet"))," "))</f>
        <v xml:space="preserve"> </v>
      </c>
      <c r="Q95" s="457" t="str">
        <f ca="1">IF(N(O95)&gt;0,VLOOKUP(O95,Hraci!$A$1:$I$1500,3,0)," ")</f>
        <v xml:space="preserve"> </v>
      </c>
      <c r="R95" s="457" t="str">
        <f ca="1">IF(N(O95)&gt;0,VLOOKUP(O95,Hraci!$A$1:$I$1500,5,0),IF(TYPE(INDIRECT(ADDRESS(ROW() + $A$9-8 + (ROW()-11)*4,3,1,1,"Internet")))&gt;1,INDIRECT(ADDRESS(ROW() + $A$9-8 + (ROW()-11)*4,3,1,1,"Internet"))," "))</f>
        <v xml:space="preserve"> </v>
      </c>
      <c r="S95" s="395">
        <f ca="1">IF(N(O95)=0,9999,VLOOKUP(O95,Hraci!$A$1:$I$1500,8,0))</f>
        <v>9999</v>
      </c>
      <c r="T95" s="458">
        <f ca="1">IF(N(O95)=0,0,VLOOKUP(O95,Hraci!$A$1:$I$1500,9,0))</f>
        <v>0</v>
      </c>
      <c r="U95" s="455" t="str">
        <f t="shared" ca="1" si="40"/>
        <v/>
      </c>
      <c r="V95" s="456" t="str">
        <f ca="1">IF(N(U95)&gt;0,VLOOKUP(U95,Hraci!$A$1:$I$1500,2,0),IF(TYPE(INDIRECT(ADDRESS(ROW() + $A$9-7 + (ROW()-11)*4,2,1,1,"Internet")))&gt;1,INDIRECT(ADDRESS(ROW() + $A$9-7 + (ROW()-11)*4,2,1,1,"Internet"))," "))</f>
        <v xml:space="preserve"> </v>
      </c>
      <c r="W95" s="457" t="str">
        <f ca="1">IF(N(U95)&gt;0,VLOOKUP(U95,Hraci!$A$1:$I$1500,3,0)," ")</f>
        <v xml:space="preserve"> </v>
      </c>
      <c r="X95" s="457" t="str">
        <f ca="1">IF(N(U95)&gt;0,VLOOKUP(U95,Hraci!$A$1:$I$1500,5,0),IF(TYPE(INDIRECT(ADDRESS(ROW() + $A$9-7 + (ROW()-11)*4,3,1,1,"Internet")))&gt;1,INDIRECT(ADDRESS(ROW() + $A$9-7 + (ROW()-11)*4,3,1,1,"Internet"))," "))</f>
        <v xml:space="preserve"> </v>
      </c>
      <c r="Y95" s="395">
        <f ca="1">IF(N(U95)=0,9999,VLOOKUP(U95,Hraci!$A$1:$I$1500,8,0))</f>
        <v>9999</v>
      </c>
      <c r="Z95" s="458">
        <f ca="1">IF(N(U95)=0,0,VLOOKUP(U95,Hraci!$A$1:$I$1500,9,0))</f>
        <v>0</v>
      </c>
      <c r="AA95" s="455" t="str">
        <f t="shared" ca="1" si="41"/>
        <v/>
      </c>
      <c r="AB95" s="456" t="str">
        <f ca="1">IF(N(AA95)&gt;0,VLOOKUP(AA95,Hraci!$A$1:$I$1500,2,0)," ")</f>
        <v xml:space="preserve"> </v>
      </c>
      <c r="AC95" s="457" t="str">
        <f ca="1">IF(N(AA95)&gt;0,VLOOKUP(AA95,Hraci!$A$1:$I$1500,3,0)," ")</f>
        <v xml:space="preserve"> </v>
      </c>
      <c r="AD95" s="457" t="str">
        <f ca="1">IF(N(AA95)&gt;0,VLOOKUP(AA95,Hraci!$A$1:$I$1500,5,0)," ")</f>
        <v xml:space="preserve"> </v>
      </c>
      <c r="AE95" s="395">
        <f ca="1">IF(N(AA95)=0,9999,VLOOKUP(AA95,Hraci!$A$1:$I$1500,8,0))</f>
        <v>9999</v>
      </c>
      <c r="AF95" s="458">
        <f ca="1">IF(N(AA95)=0,0,VLOOKUP(AA95,Hraci!$A$1:$I$1500,9,0))</f>
        <v>0</v>
      </c>
      <c r="AG95" s="459"/>
      <c r="AH95" s="465">
        <f ca="1">IF(TYPE(VLOOKUP(H95,Nasazení!$A$3:$E$130,5,0))&lt;4,VLOOKUP(H95,Nasazení!$A$3:$E$130,5,0),0)</f>
        <v>0</v>
      </c>
      <c r="AI95" s="460" t="str">
        <f ca="1">IF(N($AH95)&gt;0,VLOOKUP($AH95,Body!$A$4:$F$259,5,0),"")</f>
        <v/>
      </c>
      <c r="AJ95" s="461" t="str">
        <f ca="1">IF(N($AH95)&gt;0,VLOOKUP($AH95,Body!$A$4:$F$259,6,0),"")</f>
        <v/>
      </c>
      <c r="AK95" s="460" t="str">
        <f ca="1">IF(N($AH95)&gt;0,VLOOKUP($AH95,Body!$A$4:$F$259,2,0),"")</f>
        <v/>
      </c>
      <c r="AL95" s="462" t="str">
        <f t="shared" ca="1" si="42"/>
        <v/>
      </c>
      <c r="AM95" s="463">
        <f t="shared" ca="1" si="43"/>
        <v>0</v>
      </c>
      <c r="AN95" s="395">
        <f ca="1">IF(OR(TYPE(I95)&gt;1,TYPE(MATCH(I95,I96:I$139,0))&gt;1),0,MATCH(I95,I96:I$139,0))+IF(OR(TYPE(I95)&gt;1,TYPE(MATCH(I95,O$11:O$139,0))&gt;1),0,MATCH(I95,O$11:O$139,0))+IF(OR(TYPE(I95)&gt;1,TYPE(MATCH(I95,U$11:U$139,0))&gt;1),0,MATCH(I95,U$11:U$139,0))+IF(OR(TYPE(I95)&gt;1,TYPE(MATCH(I95,AA$11:AA$139,0))&gt;1),0,MATCH(I95,AA$11:AA$139,0))</f>
        <v>0</v>
      </c>
      <c r="AO95" s="395">
        <f ca="1">IF(OR(TYPE(O95)&gt;1,TYPE(MATCH(O95,I$11:I$139,0))&gt;1),0,MATCH(O95,I$11:I$139,0))+IF(OR(TYPE(O95)&gt;1,TYPE(MATCH(O95,O96:O$139,0))&gt;1),0,MATCH(O95,O96:O$139,0))+IF(OR(TYPE(O95)&gt;1,TYPE(MATCH(O95,U$11:U$139,0))&gt;1),0,MATCH(O95,U$11:U$139,0))+IF(OR(TYPE(O95)&gt;1,TYPE(MATCH(O95,AA$11:AA$139,0))&gt;1),0,MATCH(O95,AA$11:AA$139,0))</f>
        <v>0</v>
      </c>
      <c r="AP95" s="395">
        <f ca="1">IF(OR(TYPE(U95)&gt;1,TYPE(MATCH(U95,I$11:I$139,0))&gt;1),0,MATCH(U95,I$11:I$139,0))+IF(OR(TYPE(U95)&gt;1,TYPE(MATCH(U95,O$11:O$139,0))&gt;1),0,MATCH(U95,O$11:O$139,0))+IF(OR(TYPE(U95)&gt;1,TYPE(MATCH(U95,U96:U$139,0))&gt;1),0,MATCH(U95,U96:U$139,0))+IF(OR(TYPE(U95)&gt;1,TYPE(MATCH(U95,AA$11:AA$139,0))&gt;1),0,MATCH(U95,AA$11:AA$139,0))</f>
        <v>0</v>
      </c>
      <c r="AQ95" s="395">
        <f ca="1">IF(OR(TYPE(AA95)&gt;1,TYPE(MATCH(AA95,I$11:I$139,0))&gt;1),0,MATCH(AA95,I$11:I$139,0))+IF(OR(TYPE(AA95)&gt;1,TYPE(MATCH(AA95,O$11:O$139,0))&gt;1),0,MATCH(AA95,O$11:O$139,0))+IF(OR(TYPE(AA95)&gt;1,TYPE(MATCH(AA95,U$11:U$139,0))&gt;1),0,MATCH(U95,U$11:U$139,0))+IF(OR(TYPE(AA95)&gt;1,TYPE(MATCH(AA95,AA96:AA$139,0))&gt;1),0,MATCH(AA95,AA96:AA$139,0))</f>
        <v>0</v>
      </c>
      <c r="AR95" s="395">
        <f t="shared" ca="1" si="44"/>
        <v>0</v>
      </c>
      <c r="BF95" s="395">
        <f t="shared" si="45"/>
        <v>85</v>
      </c>
    </row>
    <row r="96" spans="1:58" ht="12.9">
      <c r="A96" s="387">
        <f t="shared" ca="1" si="30"/>
        <v>0</v>
      </c>
      <c r="B96" s="387">
        <f t="shared" ca="1" si="31"/>
        <v>0</v>
      </c>
      <c r="C96" s="387">
        <f t="shared" ca="1" si="32"/>
        <v>0</v>
      </c>
      <c r="D96" s="387">
        <f t="shared" ca="1" si="33"/>
        <v>99999</v>
      </c>
      <c r="E96" s="387">
        <f t="shared" ca="1" si="34"/>
        <v>9999</v>
      </c>
      <c r="F96" s="417" t="str">
        <f t="shared" ca="1" si="35"/>
        <v>00000000000000000000192030</v>
      </c>
      <c r="G96" s="453" t="b">
        <f t="shared" ca="1" si="36"/>
        <v>1</v>
      </c>
      <c r="H96" s="454">
        <f t="shared" si="37"/>
        <v>86</v>
      </c>
      <c r="I96" s="455" t="str">
        <f t="shared" ca="1" si="38"/>
        <v/>
      </c>
      <c r="J96" s="456" t="str">
        <f ca="1">IF(N(I96)&gt;0,VLOOKUP(I96,Hraci!$A$1:$I$1500,2,0),IF(TYPE(INDIRECT(ADDRESS(ROW() + $A$9-9 + (ROW()-11)*4,2,1,1,"Internet")))&gt;1,INDIRECT(ADDRESS(ROW() + $A$9-9 + (ROW()-11)*4,2,1,1,"Internet"))," "))</f>
        <v xml:space="preserve"> </v>
      </c>
      <c r="K96" s="457" t="str">
        <f ca="1">IF(N(I96)&gt;0,VLOOKUP(I96,Hraci!$A$1:$I$1500,3,0)," ")</f>
        <v xml:space="preserve"> </v>
      </c>
      <c r="L96" s="457" t="str">
        <f ca="1">IF(N(I96)&gt;0,VLOOKUP(I96,Hraci!$A$1:$I$1500,5,0),IF(TYPE(INDIRECT(ADDRESS(ROW() + $A$9-9 + (ROW()-11)*4,3,1,1,"Internet")))&gt;1,INDIRECT(ADDRESS(ROW() + $A$9-9 + (ROW()-11)*4,3,1,1,"Internet"))," "))</f>
        <v xml:space="preserve"> </v>
      </c>
      <c r="M96" s="395">
        <f ca="1">IF(N(I96)=0,9999,VLOOKUP(I96,Hraci!$A$1:$I$1500,8,0))</f>
        <v>9999</v>
      </c>
      <c r="N96" s="458">
        <f ca="1">IF(N(I96)=0,0,VLOOKUP(I96,Hraci!$A$1:$I$1500,9,0))</f>
        <v>0</v>
      </c>
      <c r="O96" s="455" t="str">
        <f t="shared" ca="1" si="39"/>
        <v/>
      </c>
      <c r="P96" s="456" t="str">
        <f ca="1">IF(N(O96)&gt;0,VLOOKUP(O96,Hraci!$A$1:$I$1500,2,0),IF(TYPE(INDIRECT(ADDRESS(ROW() + $A$9-8 + (ROW()-11)*4,2,1,1,"Internet")))&gt;1,INDIRECT(ADDRESS(ROW() + $A$9-8 + (ROW()-11)*4,2,1,1,"Internet"))," "))</f>
        <v xml:space="preserve"> </v>
      </c>
      <c r="Q96" s="457" t="str">
        <f ca="1">IF(N(O96)&gt;0,VLOOKUP(O96,Hraci!$A$1:$I$1500,3,0)," ")</f>
        <v xml:space="preserve"> </v>
      </c>
      <c r="R96" s="457" t="str">
        <f ca="1">IF(N(O96)&gt;0,VLOOKUP(O96,Hraci!$A$1:$I$1500,5,0),IF(TYPE(INDIRECT(ADDRESS(ROW() + $A$9-8 + (ROW()-11)*4,3,1,1,"Internet")))&gt;1,INDIRECT(ADDRESS(ROW() + $A$9-8 + (ROW()-11)*4,3,1,1,"Internet"))," "))</f>
        <v xml:space="preserve"> </v>
      </c>
      <c r="S96" s="395">
        <f ca="1">IF(N(O96)=0,9999,VLOOKUP(O96,Hraci!$A$1:$I$1500,8,0))</f>
        <v>9999</v>
      </c>
      <c r="T96" s="458">
        <f ca="1">IF(N(O96)=0,0,VLOOKUP(O96,Hraci!$A$1:$I$1500,9,0))</f>
        <v>0</v>
      </c>
      <c r="U96" s="455" t="str">
        <f t="shared" ca="1" si="40"/>
        <v/>
      </c>
      <c r="V96" s="456" t="str">
        <f ca="1">IF(N(U96)&gt;0,VLOOKUP(U96,Hraci!$A$1:$I$1500,2,0),IF(TYPE(INDIRECT(ADDRESS(ROW() + $A$9-7 + (ROW()-11)*4,2,1,1,"Internet")))&gt;1,INDIRECT(ADDRESS(ROW() + $A$9-7 + (ROW()-11)*4,2,1,1,"Internet"))," "))</f>
        <v xml:space="preserve"> </v>
      </c>
      <c r="W96" s="457" t="str">
        <f ca="1">IF(N(U96)&gt;0,VLOOKUP(U96,Hraci!$A$1:$I$1500,3,0)," ")</f>
        <v xml:space="preserve"> </v>
      </c>
      <c r="X96" s="457" t="str">
        <f ca="1">IF(N(U96)&gt;0,VLOOKUP(U96,Hraci!$A$1:$I$1500,5,0),IF(TYPE(INDIRECT(ADDRESS(ROW() + $A$9-7 + (ROW()-11)*4,3,1,1,"Internet")))&gt;1,INDIRECT(ADDRESS(ROW() + $A$9-7 + (ROW()-11)*4,3,1,1,"Internet"))," "))</f>
        <v xml:space="preserve"> </v>
      </c>
      <c r="Y96" s="395">
        <f ca="1">IF(N(U96)=0,9999,VLOOKUP(U96,Hraci!$A$1:$I$1500,8,0))</f>
        <v>9999</v>
      </c>
      <c r="Z96" s="458">
        <f ca="1">IF(N(U96)=0,0,VLOOKUP(U96,Hraci!$A$1:$I$1500,9,0))</f>
        <v>0</v>
      </c>
      <c r="AA96" s="455" t="str">
        <f t="shared" ca="1" si="41"/>
        <v/>
      </c>
      <c r="AB96" s="456" t="str">
        <f ca="1">IF(N(AA96)&gt;0,VLOOKUP(AA96,Hraci!$A$1:$I$1500,2,0)," ")</f>
        <v xml:space="preserve"> </v>
      </c>
      <c r="AC96" s="457" t="str">
        <f ca="1">IF(N(AA96)&gt;0,VLOOKUP(AA96,Hraci!$A$1:$I$1500,3,0)," ")</f>
        <v xml:space="preserve"> </v>
      </c>
      <c r="AD96" s="457" t="str">
        <f ca="1">IF(N(AA96)&gt;0,VLOOKUP(AA96,Hraci!$A$1:$I$1500,5,0)," ")</f>
        <v xml:space="preserve"> </v>
      </c>
      <c r="AE96" s="395">
        <f ca="1">IF(N(AA96)=0,9999,VLOOKUP(AA96,Hraci!$A$1:$I$1500,8,0))</f>
        <v>9999</v>
      </c>
      <c r="AF96" s="458">
        <f ca="1">IF(N(AA96)=0,0,VLOOKUP(AA96,Hraci!$A$1:$I$1500,9,0))</f>
        <v>0</v>
      </c>
      <c r="AG96" s="459"/>
      <c r="AH96" s="465">
        <f ca="1">IF(TYPE(VLOOKUP(H96,Nasazení!$A$3:$E$130,5,0))&lt;4,VLOOKUP(H96,Nasazení!$A$3:$E$130,5,0),0)</f>
        <v>0</v>
      </c>
      <c r="AI96" s="460" t="str">
        <f ca="1">IF(N($AH96)&gt;0,VLOOKUP($AH96,Body!$A$4:$F$259,5,0),"")</f>
        <v/>
      </c>
      <c r="AJ96" s="461" t="str">
        <f ca="1">IF(N($AH96)&gt;0,VLOOKUP($AH96,Body!$A$4:$F$259,6,0),"")</f>
        <v/>
      </c>
      <c r="AK96" s="460" t="str">
        <f ca="1">IF(N($AH96)&gt;0,VLOOKUP($AH96,Body!$A$4:$F$259,2,0),"")</f>
        <v/>
      </c>
      <c r="AL96" s="462" t="str">
        <f t="shared" ca="1" si="42"/>
        <v/>
      </c>
      <c r="AM96" s="463">
        <f t="shared" ca="1" si="43"/>
        <v>0</v>
      </c>
      <c r="AN96" s="395">
        <f ca="1">IF(OR(TYPE(I96)&gt;1,TYPE(MATCH(I96,I97:I$139,0))&gt;1),0,MATCH(I96,I97:I$139,0))+IF(OR(TYPE(I96)&gt;1,TYPE(MATCH(I96,O$11:O$139,0))&gt;1),0,MATCH(I96,O$11:O$139,0))+IF(OR(TYPE(I96)&gt;1,TYPE(MATCH(I96,U$11:U$139,0))&gt;1),0,MATCH(I96,U$11:U$139,0))+IF(OR(TYPE(I96)&gt;1,TYPE(MATCH(I96,AA$11:AA$139,0))&gt;1),0,MATCH(I96,AA$11:AA$139,0))</f>
        <v>0</v>
      </c>
      <c r="AO96" s="395">
        <f ca="1">IF(OR(TYPE(O96)&gt;1,TYPE(MATCH(O96,I$11:I$139,0))&gt;1),0,MATCH(O96,I$11:I$139,0))+IF(OR(TYPE(O96)&gt;1,TYPE(MATCH(O96,O97:O$139,0))&gt;1),0,MATCH(O96,O97:O$139,0))+IF(OR(TYPE(O96)&gt;1,TYPE(MATCH(O96,U$11:U$139,0))&gt;1),0,MATCH(O96,U$11:U$139,0))+IF(OR(TYPE(O96)&gt;1,TYPE(MATCH(O96,AA$11:AA$139,0))&gt;1),0,MATCH(O96,AA$11:AA$139,0))</f>
        <v>0</v>
      </c>
      <c r="AP96" s="395">
        <f ca="1">IF(OR(TYPE(U96)&gt;1,TYPE(MATCH(U96,I$11:I$139,0))&gt;1),0,MATCH(U96,I$11:I$139,0))+IF(OR(TYPE(U96)&gt;1,TYPE(MATCH(U96,O$11:O$139,0))&gt;1),0,MATCH(U96,O$11:O$139,0))+IF(OR(TYPE(U96)&gt;1,TYPE(MATCH(U96,U97:U$139,0))&gt;1),0,MATCH(U96,U97:U$139,0))+IF(OR(TYPE(U96)&gt;1,TYPE(MATCH(U96,AA$11:AA$139,0))&gt;1),0,MATCH(U96,AA$11:AA$139,0))</f>
        <v>0</v>
      </c>
      <c r="AQ96" s="395">
        <f ca="1">IF(OR(TYPE(AA96)&gt;1,TYPE(MATCH(AA96,I$11:I$139,0))&gt;1),0,MATCH(AA96,I$11:I$139,0))+IF(OR(TYPE(AA96)&gt;1,TYPE(MATCH(AA96,O$11:O$139,0))&gt;1),0,MATCH(AA96,O$11:O$139,0))+IF(OR(TYPE(AA96)&gt;1,TYPE(MATCH(AA96,U$11:U$139,0))&gt;1),0,MATCH(U96,U$11:U$139,0))+IF(OR(TYPE(AA96)&gt;1,TYPE(MATCH(AA96,AA97:AA$139,0))&gt;1),0,MATCH(AA96,AA97:AA$139,0))</f>
        <v>0</v>
      </c>
      <c r="AR96" s="395">
        <f t="shared" ca="1" si="44"/>
        <v>0</v>
      </c>
      <c r="BF96" s="395">
        <f t="shared" si="45"/>
        <v>86</v>
      </c>
    </row>
    <row r="97" spans="1:58" ht="12.9">
      <c r="A97" s="387">
        <f t="shared" ca="1" si="30"/>
        <v>0</v>
      </c>
      <c r="B97" s="387">
        <f t="shared" ca="1" si="31"/>
        <v>0</v>
      </c>
      <c r="C97" s="387">
        <f t="shared" ca="1" si="32"/>
        <v>0</v>
      </c>
      <c r="D97" s="387">
        <f t="shared" ca="1" si="33"/>
        <v>99999</v>
      </c>
      <c r="E97" s="387">
        <f t="shared" ca="1" si="34"/>
        <v>9999</v>
      </c>
      <c r="F97" s="417" t="str">
        <f t="shared" ca="1" si="35"/>
        <v>00000000000000000000971117</v>
      </c>
      <c r="G97" s="453" t="b">
        <f t="shared" ca="1" si="36"/>
        <v>1</v>
      </c>
      <c r="H97" s="454">
        <f t="shared" si="37"/>
        <v>87</v>
      </c>
      <c r="I97" s="455" t="str">
        <f t="shared" ca="1" si="38"/>
        <v/>
      </c>
      <c r="J97" s="456" t="str">
        <f ca="1">IF(N(I97)&gt;0,VLOOKUP(I97,Hraci!$A$1:$I$1500,2,0),IF(TYPE(INDIRECT(ADDRESS(ROW() + $A$9-9 + (ROW()-11)*4,2,1,1,"Internet")))&gt;1,INDIRECT(ADDRESS(ROW() + $A$9-9 + (ROW()-11)*4,2,1,1,"Internet"))," "))</f>
        <v xml:space="preserve"> </v>
      </c>
      <c r="K97" s="457" t="str">
        <f ca="1">IF(N(I97)&gt;0,VLOOKUP(I97,Hraci!$A$1:$I$1500,3,0)," ")</f>
        <v xml:space="preserve"> </v>
      </c>
      <c r="L97" s="457" t="str">
        <f ca="1">IF(N(I97)&gt;0,VLOOKUP(I97,Hraci!$A$1:$I$1500,5,0),IF(TYPE(INDIRECT(ADDRESS(ROW() + $A$9-9 + (ROW()-11)*4,3,1,1,"Internet")))&gt;1,INDIRECT(ADDRESS(ROW() + $A$9-9 + (ROW()-11)*4,3,1,1,"Internet"))," "))</f>
        <v xml:space="preserve"> </v>
      </c>
      <c r="M97" s="395">
        <f ca="1">IF(N(I97)=0,9999,VLOOKUP(I97,Hraci!$A$1:$I$1500,8,0))</f>
        <v>9999</v>
      </c>
      <c r="N97" s="458">
        <f ca="1">IF(N(I97)=0,0,VLOOKUP(I97,Hraci!$A$1:$I$1500,9,0))</f>
        <v>0</v>
      </c>
      <c r="O97" s="455" t="str">
        <f t="shared" ca="1" si="39"/>
        <v/>
      </c>
      <c r="P97" s="456" t="str">
        <f ca="1">IF(N(O97)&gt;0,VLOOKUP(O97,Hraci!$A$1:$I$1500,2,0),IF(TYPE(INDIRECT(ADDRESS(ROW() + $A$9-8 + (ROW()-11)*4,2,1,1,"Internet")))&gt;1,INDIRECT(ADDRESS(ROW() + $A$9-8 + (ROW()-11)*4,2,1,1,"Internet"))," "))</f>
        <v xml:space="preserve"> </v>
      </c>
      <c r="Q97" s="457" t="str">
        <f ca="1">IF(N(O97)&gt;0,VLOOKUP(O97,Hraci!$A$1:$I$1500,3,0)," ")</f>
        <v xml:space="preserve"> </v>
      </c>
      <c r="R97" s="457" t="str">
        <f ca="1">IF(N(O97)&gt;0,VLOOKUP(O97,Hraci!$A$1:$I$1500,5,0),IF(TYPE(INDIRECT(ADDRESS(ROW() + $A$9-8 + (ROW()-11)*4,3,1,1,"Internet")))&gt;1,INDIRECT(ADDRESS(ROW() + $A$9-8 + (ROW()-11)*4,3,1,1,"Internet"))," "))</f>
        <v xml:space="preserve"> </v>
      </c>
      <c r="S97" s="395">
        <f ca="1">IF(N(O97)=0,9999,VLOOKUP(O97,Hraci!$A$1:$I$1500,8,0))</f>
        <v>9999</v>
      </c>
      <c r="T97" s="458">
        <f ca="1">IF(N(O97)=0,0,VLOOKUP(O97,Hraci!$A$1:$I$1500,9,0))</f>
        <v>0</v>
      </c>
      <c r="U97" s="455" t="str">
        <f t="shared" ca="1" si="40"/>
        <v/>
      </c>
      <c r="V97" s="456" t="str">
        <f ca="1">IF(N(U97)&gt;0,VLOOKUP(U97,Hraci!$A$1:$I$1500,2,0),IF(TYPE(INDIRECT(ADDRESS(ROW() + $A$9-7 + (ROW()-11)*4,2,1,1,"Internet")))&gt;1,INDIRECT(ADDRESS(ROW() + $A$9-7 + (ROW()-11)*4,2,1,1,"Internet"))," "))</f>
        <v xml:space="preserve"> </v>
      </c>
      <c r="W97" s="457" t="str">
        <f ca="1">IF(N(U97)&gt;0,VLOOKUP(U97,Hraci!$A$1:$I$1500,3,0)," ")</f>
        <v xml:space="preserve"> </v>
      </c>
      <c r="X97" s="457" t="str">
        <f ca="1">IF(N(U97)&gt;0,VLOOKUP(U97,Hraci!$A$1:$I$1500,5,0),IF(TYPE(INDIRECT(ADDRESS(ROW() + $A$9-7 + (ROW()-11)*4,3,1,1,"Internet")))&gt;1,INDIRECT(ADDRESS(ROW() + $A$9-7 + (ROW()-11)*4,3,1,1,"Internet"))," "))</f>
        <v xml:space="preserve"> </v>
      </c>
      <c r="Y97" s="395">
        <f ca="1">IF(N(U97)=0,9999,VLOOKUP(U97,Hraci!$A$1:$I$1500,8,0))</f>
        <v>9999</v>
      </c>
      <c r="Z97" s="458">
        <f ca="1">IF(N(U97)=0,0,VLOOKUP(U97,Hraci!$A$1:$I$1500,9,0))</f>
        <v>0</v>
      </c>
      <c r="AA97" s="455" t="str">
        <f t="shared" ca="1" si="41"/>
        <v/>
      </c>
      <c r="AB97" s="456" t="str">
        <f ca="1">IF(N(AA97)&gt;0,VLOOKUP(AA97,Hraci!$A$1:$I$1500,2,0)," ")</f>
        <v xml:space="preserve"> </v>
      </c>
      <c r="AC97" s="457" t="str">
        <f ca="1">IF(N(AA97)&gt;0,VLOOKUP(AA97,Hraci!$A$1:$I$1500,3,0)," ")</f>
        <v xml:space="preserve"> </v>
      </c>
      <c r="AD97" s="457" t="str">
        <f ca="1">IF(N(AA97)&gt;0,VLOOKUP(AA97,Hraci!$A$1:$I$1500,5,0)," ")</f>
        <v xml:space="preserve"> </v>
      </c>
      <c r="AE97" s="395">
        <f ca="1">IF(N(AA97)=0,9999,VLOOKUP(AA97,Hraci!$A$1:$I$1500,8,0))</f>
        <v>9999</v>
      </c>
      <c r="AF97" s="458">
        <f ca="1">IF(N(AA97)=0,0,VLOOKUP(AA97,Hraci!$A$1:$I$1500,9,0))</f>
        <v>0</v>
      </c>
      <c r="AG97" s="459"/>
      <c r="AH97" s="465">
        <f ca="1">IF(TYPE(VLOOKUP(H97,Nasazení!$A$3:$E$130,5,0))&lt;4,VLOOKUP(H97,Nasazení!$A$3:$E$130,5,0),0)</f>
        <v>0</v>
      </c>
      <c r="AI97" s="460" t="str">
        <f ca="1">IF(N($AH97)&gt;0,VLOOKUP($AH97,Body!$A$4:$F$259,5,0),"")</f>
        <v/>
      </c>
      <c r="AJ97" s="461" t="str">
        <f ca="1">IF(N($AH97)&gt;0,VLOOKUP($AH97,Body!$A$4:$F$259,6,0),"")</f>
        <v/>
      </c>
      <c r="AK97" s="460" t="str">
        <f ca="1">IF(N($AH97)&gt;0,VLOOKUP($AH97,Body!$A$4:$F$259,2,0),"")</f>
        <v/>
      </c>
      <c r="AL97" s="462" t="str">
        <f t="shared" ca="1" si="42"/>
        <v/>
      </c>
      <c r="AM97" s="463">
        <f t="shared" ca="1" si="43"/>
        <v>0</v>
      </c>
      <c r="AN97" s="395">
        <f ca="1">IF(OR(TYPE(I97)&gt;1,TYPE(MATCH(I97,I98:I$139,0))&gt;1),0,MATCH(I97,I98:I$139,0))+IF(OR(TYPE(I97)&gt;1,TYPE(MATCH(I97,O$11:O$139,0))&gt;1),0,MATCH(I97,O$11:O$139,0))+IF(OR(TYPE(I97)&gt;1,TYPE(MATCH(I97,U$11:U$139,0))&gt;1),0,MATCH(I97,U$11:U$139,0))+IF(OR(TYPE(I97)&gt;1,TYPE(MATCH(I97,AA$11:AA$139,0))&gt;1),0,MATCH(I97,AA$11:AA$139,0))</f>
        <v>0</v>
      </c>
      <c r="AO97" s="395">
        <f ca="1">IF(OR(TYPE(O97)&gt;1,TYPE(MATCH(O97,I$11:I$139,0))&gt;1),0,MATCH(O97,I$11:I$139,0))+IF(OR(TYPE(O97)&gt;1,TYPE(MATCH(O97,O98:O$139,0))&gt;1),0,MATCH(O97,O98:O$139,0))+IF(OR(TYPE(O97)&gt;1,TYPE(MATCH(O97,U$11:U$139,0))&gt;1),0,MATCH(O97,U$11:U$139,0))+IF(OR(TYPE(O97)&gt;1,TYPE(MATCH(O97,AA$11:AA$139,0))&gt;1),0,MATCH(O97,AA$11:AA$139,0))</f>
        <v>0</v>
      </c>
      <c r="AP97" s="395">
        <f ca="1">IF(OR(TYPE(U97)&gt;1,TYPE(MATCH(U97,I$11:I$139,0))&gt;1),0,MATCH(U97,I$11:I$139,0))+IF(OR(TYPE(U97)&gt;1,TYPE(MATCH(U97,O$11:O$139,0))&gt;1),0,MATCH(U97,O$11:O$139,0))+IF(OR(TYPE(U97)&gt;1,TYPE(MATCH(U97,U98:U$139,0))&gt;1),0,MATCH(U97,U98:U$139,0))+IF(OR(TYPE(U97)&gt;1,TYPE(MATCH(U97,AA$11:AA$139,0))&gt;1),0,MATCH(U97,AA$11:AA$139,0))</f>
        <v>0</v>
      </c>
      <c r="AQ97" s="395">
        <f ca="1">IF(OR(TYPE(AA97)&gt;1,TYPE(MATCH(AA97,I$11:I$139,0))&gt;1),0,MATCH(AA97,I$11:I$139,0))+IF(OR(TYPE(AA97)&gt;1,TYPE(MATCH(AA97,O$11:O$139,0))&gt;1),0,MATCH(AA97,O$11:O$139,0))+IF(OR(TYPE(AA97)&gt;1,TYPE(MATCH(AA97,U$11:U$139,0))&gt;1),0,MATCH(U97,U$11:U$139,0))+IF(OR(TYPE(AA97)&gt;1,TYPE(MATCH(AA97,AA98:AA$139,0))&gt;1),0,MATCH(AA97,AA98:AA$139,0))</f>
        <v>0</v>
      </c>
      <c r="AR97" s="395">
        <f t="shared" ca="1" si="44"/>
        <v>0</v>
      </c>
      <c r="BF97" s="395">
        <f t="shared" si="45"/>
        <v>87</v>
      </c>
    </row>
    <row r="98" spans="1:58" ht="12.9">
      <c r="A98" s="387">
        <f t="shared" ca="1" si="30"/>
        <v>0</v>
      </c>
      <c r="B98" s="387">
        <f t="shared" ca="1" si="31"/>
        <v>0</v>
      </c>
      <c r="C98" s="387">
        <f t="shared" ca="1" si="32"/>
        <v>0</v>
      </c>
      <c r="D98" s="387">
        <f t="shared" ca="1" si="33"/>
        <v>99999</v>
      </c>
      <c r="E98" s="387">
        <f t="shared" ca="1" si="34"/>
        <v>9999</v>
      </c>
      <c r="F98" s="417" t="str">
        <f t="shared" ca="1" si="35"/>
        <v>00000000000000000000189645</v>
      </c>
      <c r="G98" s="453" t="b">
        <f t="shared" ca="1" si="36"/>
        <v>1</v>
      </c>
      <c r="H98" s="454">
        <f t="shared" si="37"/>
        <v>88</v>
      </c>
      <c r="I98" s="455" t="str">
        <f t="shared" ca="1" si="38"/>
        <v/>
      </c>
      <c r="J98" s="456" t="str">
        <f ca="1">IF(N(I98)&gt;0,VLOOKUP(I98,Hraci!$A$1:$I$1500,2,0),IF(TYPE(INDIRECT(ADDRESS(ROW() + $A$9-9 + (ROW()-11)*4,2,1,1,"Internet")))&gt;1,INDIRECT(ADDRESS(ROW() + $A$9-9 + (ROW()-11)*4,2,1,1,"Internet"))," "))</f>
        <v xml:space="preserve"> </v>
      </c>
      <c r="K98" s="457" t="str">
        <f ca="1">IF(N(I98)&gt;0,VLOOKUP(I98,Hraci!$A$1:$I$1500,3,0)," ")</f>
        <v xml:space="preserve"> </v>
      </c>
      <c r="L98" s="457" t="str">
        <f ca="1">IF(N(I98)&gt;0,VLOOKUP(I98,Hraci!$A$1:$I$1500,5,0),IF(TYPE(INDIRECT(ADDRESS(ROW() + $A$9-9 + (ROW()-11)*4,3,1,1,"Internet")))&gt;1,INDIRECT(ADDRESS(ROW() + $A$9-9 + (ROW()-11)*4,3,1,1,"Internet"))," "))</f>
        <v xml:space="preserve"> </v>
      </c>
      <c r="M98" s="395">
        <f ca="1">IF(N(I98)=0,9999,VLOOKUP(I98,Hraci!$A$1:$I$1500,8,0))</f>
        <v>9999</v>
      </c>
      <c r="N98" s="458">
        <f ca="1">IF(N(I98)=0,0,VLOOKUP(I98,Hraci!$A$1:$I$1500,9,0))</f>
        <v>0</v>
      </c>
      <c r="O98" s="455" t="str">
        <f t="shared" ca="1" si="39"/>
        <v/>
      </c>
      <c r="P98" s="456" t="str">
        <f ca="1">IF(N(O98)&gt;0,VLOOKUP(O98,Hraci!$A$1:$I$1500,2,0),IF(TYPE(INDIRECT(ADDRESS(ROW() + $A$9-8 + (ROW()-11)*4,2,1,1,"Internet")))&gt;1,INDIRECT(ADDRESS(ROW() + $A$9-8 + (ROW()-11)*4,2,1,1,"Internet"))," "))</f>
        <v xml:space="preserve"> </v>
      </c>
      <c r="Q98" s="457" t="str">
        <f ca="1">IF(N(O98)&gt;0,VLOOKUP(O98,Hraci!$A$1:$I$1500,3,0)," ")</f>
        <v xml:space="preserve"> </v>
      </c>
      <c r="R98" s="457" t="str">
        <f ca="1">IF(N(O98)&gt;0,VLOOKUP(O98,Hraci!$A$1:$I$1500,5,0),IF(TYPE(INDIRECT(ADDRESS(ROW() + $A$9-8 + (ROW()-11)*4,3,1,1,"Internet")))&gt;1,INDIRECT(ADDRESS(ROW() + $A$9-8 + (ROW()-11)*4,3,1,1,"Internet"))," "))</f>
        <v xml:space="preserve"> </v>
      </c>
      <c r="S98" s="395">
        <f ca="1">IF(N(O98)=0,9999,VLOOKUP(O98,Hraci!$A$1:$I$1500,8,0))</f>
        <v>9999</v>
      </c>
      <c r="T98" s="458">
        <f ca="1">IF(N(O98)=0,0,VLOOKUP(O98,Hraci!$A$1:$I$1500,9,0))</f>
        <v>0</v>
      </c>
      <c r="U98" s="455" t="str">
        <f t="shared" ca="1" si="40"/>
        <v/>
      </c>
      <c r="V98" s="456" t="str">
        <f ca="1">IF(N(U98)&gt;0,VLOOKUP(U98,Hraci!$A$1:$I$1500,2,0),IF(TYPE(INDIRECT(ADDRESS(ROW() + $A$9-7 + (ROW()-11)*4,2,1,1,"Internet")))&gt;1,INDIRECT(ADDRESS(ROW() + $A$9-7 + (ROW()-11)*4,2,1,1,"Internet"))," "))</f>
        <v xml:space="preserve"> </v>
      </c>
      <c r="W98" s="457" t="str">
        <f ca="1">IF(N(U98)&gt;0,VLOOKUP(U98,Hraci!$A$1:$I$1500,3,0)," ")</f>
        <v xml:space="preserve"> </v>
      </c>
      <c r="X98" s="457" t="str">
        <f ca="1">IF(N(U98)&gt;0,VLOOKUP(U98,Hraci!$A$1:$I$1500,5,0),IF(TYPE(INDIRECT(ADDRESS(ROW() + $A$9-7 + (ROW()-11)*4,3,1,1,"Internet")))&gt;1,INDIRECT(ADDRESS(ROW() + $A$9-7 + (ROW()-11)*4,3,1,1,"Internet"))," "))</f>
        <v xml:space="preserve"> </v>
      </c>
      <c r="Y98" s="395">
        <f ca="1">IF(N(U98)=0,9999,VLOOKUP(U98,Hraci!$A$1:$I$1500,8,0))</f>
        <v>9999</v>
      </c>
      <c r="Z98" s="458">
        <f ca="1">IF(N(U98)=0,0,VLOOKUP(U98,Hraci!$A$1:$I$1500,9,0))</f>
        <v>0</v>
      </c>
      <c r="AA98" s="455" t="str">
        <f t="shared" ca="1" si="41"/>
        <v/>
      </c>
      <c r="AB98" s="456" t="str">
        <f ca="1">IF(N(AA98)&gt;0,VLOOKUP(AA98,Hraci!$A$1:$I$1500,2,0)," ")</f>
        <v xml:space="preserve"> </v>
      </c>
      <c r="AC98" s="457" t="str">
        <f ca="1">IF(N(AA98)&gt;0,VLOOKUP(AA98,Hraci!$A$1:$I$1500,3,0)," ")</f>
        <v xml:space="preserve"> </v>
      </c>
      <c r="AD98" s="457" t="str">
        <f ca="1">IF(N(AA98)&gt;0,VLOOKUP(AA98,Hraci!$A$1:$I$1500,5,0)," ")</f>
        <v xml:space="preserve"> </v>
      </c>
      <c r="AE98" s="395">
        <f ca="1">IF(N(AA98)=0,9999,VLOOKUP(AA98,Hraci!$A$1:$I$1500,8,0))</f>
        <v>9999</v>
      </c>
      <c r="AF98" s="458">
        <f ca="1">IF(N(AA98)=0,0,VLOOKUP(AA98,Hraci!$A$1:$I$1500,9,0))</f>
        <v>0</v>
      </c>
      <c r="AG98" s="459"/>
      <c r="AH98" s="465">
        <f ca="1">IF(TYPE(VLOOKUP(H98,Nasazení!$A$3:$E$130,5,0))&lt;4,VLOOKUP(H98,Nasazení!$A$3:$E$130,5,0),0)</f>
        <v>0</v>
      </c>
      <c r="AI98" s="460" t="str">
        <f ca="1">IF(N($AH98)&gt;0,VLOOKUP($AH98,Body!$A$4:$F$259,5,0),"")</f>
        <v/>
      </c>
      <c r="AJ98" s="461" t="str">
        <f ca="1">IF(N($AH98)&gt;0,VLOOKUP($AH98,Body!$A$4:$F$259,6,0),"")</f>
        <v/>
      </c>
      <c r="AK98" s="460" t="str">
        <f ca="1">IF(N($AH98)&gt;0,VLOOKUP($AH98,Body!$A$4:$F$259,2,0),"")</f>
        <v/>
      </c>
      <c r="AL98" s="462" t="str">
        <f t="shared" ca="1" si="42"/>
        <v/>
      </c>
      <c r="AM98" s="463">
        <f t="shared" ca="1" si="43"/>
        <v>0</v>
      </c>
      <c r="AN98" s="395">
        <f ca="1">IF(OR(TYPE(I98)&gt;1,TYPE(MATCH(I98,I99:I$139,0))&gt;1),0,MATCH(I98,I99:I$139,0))+IF(OR(TYPE(I98)&gt;1,TYPE(MATCH(I98,O$11:O$139,0))&gt;1),0,MATCH(I98,O$11:O$139,0))+IF(OR(TYPE(I98)&gt;1,TYPE(MATCH(I98,U$11:U$139,0))&gt;1),0,MATCH(I98,U$11:U$139,0))+IF(OR(TYPE(I98)&gt;1,TYPE(MATCH(I98,AA$11:AA$139,0))&gt;1),0,MATCH(I98,AA$11:AA$139,0))</f>
        <v>0</v>
      </c>
      <c r="AO98" s="395">
        <f ca="1">IF(OR(TYPE(O98)&gt;1,TYPE(MATCH(O98,I$11:I$139,0))&gt;1),0,MATCH(O98,I$11:I$139,0))+IF(OR(TYPE(O98)&gt;1,TYPE(MATCH(O98,O99:O$139,0))&gt;1),0,MATCH(O98,O99:O$139,0))+IF(OR(TYPE(O98)&gt;1,TYPE(MATCH(O98,U$11:U$139,0))&gt;1),0,MATCH(O98,U$11:U$139,0))+IF(OR(TYPE(O98)&gt;1,TYPE(MATCH(O98,AA$11:AA$139,0))&gt;1),0,MATCH(O98,AA$11:AA$139,0))</f>
        <v>0</v>
      </c>
      <c r="AP98" s="395">
        <f ca="1">IF(OR(TYPE(U98)&gt;1,TYPE(MATCH(U98,I$11:I$139,0))&gt;1),0,MATCH(U98,I$11:I$139,0))+IF(OR(TYPE(U98)&gt;1,TYPE(MATCH(U98,O$11:O$139,0))&gt;1),0,MATCH(U98,O$11:O$139,0))+IF(OR(TYPE(U98)&gt;1,TYPE(MATCH(U98,U99:U$139,0))&gt;1),0,MATCH(U98,U99:U$139,0))+IF(OR(TYPE(U98)&gt;1,TYPE(MATCH(U98,AA$11:AA$139,0))&gt;1),0,MATCH(U98,AA$11:AA$139,0))</f>
        <v>0</v>
      </c>
      <c r="AQ98" s="395">
        <f ca="1">IF(OR(TYPE(AA98)&gt;1,TYPE(MATCH(AA98,I$11:I$139,0))&gt;1),0,MATCH(AA98,I$11:I$139,0))+IF(OR(TYPE(AA98)&gt;1,TYPE(MATCH(AA98,O$11:O$139,0))&gt;1),0,MATCH(AA98,O$11:O$139,0))+IF(OR(TYPE(AA98)&gt;1,TYPE(MATCH(AA98,U$11:U$139,0))&gt;1),0,MATCH(U98,U$11:U$139,0))+IF(OR(TYPE(AA98)&gt;1,TYPE(MATCH(AA98,AA99:AA$139,0))&gt;1),0,MATCH(AA98,AA99:AA$139,0))</f>
        <v>0</v>
      </c>
      <c r="AR98" s="395">
        <f t="shared" ca="1" si="44"/>
        <v>0</v>
      </c>
      <c r="BF98" s="395">
        <f t="shared" si="45"/>
        <v>88</v>
      </c>
    </row>
    <row r="99" spans="1:58" ht="12.9">
      <c r="A99" s="387">
        <f t="shared" ca="1" si="30"/>
        <v>0</v>
      </c>
      <c r="B99" s="387">
        <f t="shared" ca="1" si="31"/>
        <v>0</v>
      </c>
      <c r="C99" s="387">
        <f t="shared" ca="1" si="32"/>
        <v>0</v>
      </c>
      <c r="D99" s="387">
        <f t="shared" ca="1" si="33"/>
        <v>99999</v>
      </c>
      <c r="E99" s="387">
        <f t="shared" ca="1" si="34"/>
        <v>9999</v>
      </c>
      <c r="F99" s="417" t="str">
        <f t="shared" ca="1" si="35"/>
        <v>00000000000000000000728569</v>
      </c>
      <c r="G99" s="453" t="b">
        <f t="shared" ca="1" si="36"/>
        <v>1</v>
      </c>
      <c r="H99" s="454">
        <f t="shared" si="37"/>
        <v>89</v>
      </c>
      <c r="I99" s="455" t="str">
        <f t="shared" ca="1" si="38"/>
        <v/>
      </c>
      <c r="J99" s="456" t="str">
        <f ca="1">IF(N(I99)&gt;0,VLOOKUP(I99,Hraci!$A$1:$I$1500,2,0),IF(TYPE(INDIRECT(ADDRESS(ROW() + $A$9-9 + (ROW()-11)*4,2,1,1,"Internet")))&gt;1,INDIRECT(ADDRESS(ROW() + $A$9-9 + (ROW()-11)*4,2,1,1,"Internet"))," "))</f>
        <v xml:space="preserve"> </v>
      </c>
      <c r="K99" s="457" t="str">
        <f ca="1">IF(N(I99)&gt;0,VLOOKUP(I99,Hraci!$A$1:$I$1500,3,0)," ")</f>
        <v xml:space="preserve"> </v>
      </c>
      <c r="L99" s="457" t="str">
        <f ca="1">IF(N(I99)&gt;0,VLOOKUP(I99,Hraci!$A$1:$I$1500,5,0),IF(TYPE(INDIRECT(ADDRESS(ROW() + $A$9-9 + (ROW()-11)*4,3,1,1,"Internet")))&gt;1,INDIRECT(ADDRESS(ROW() + $A$9-9 + (ROW()-11)*4,3,1,1,"Internet"))," "))</f>
        <v xml:space="preserve"> </v>
      </c>
      <c r="M99" s="395">
        <f ca="1">IF(N(I99)=0,9999,VLOOKUP(I99,Hraci!$A$1:$I$1500,8,0))</f>
        <v>9999</v>
      </c>
      <c r="N99" s="458">
        <f ca="1">IF(N(I99)=0,0,VLOOKUP(I99,Hraci!$A$1:$I$1500,9,0))</f>
        <v>0</v>
      </c>
      <c r="O99" s="455" t="str">
        <f t="shared" ca="1" si="39"/>
        <v/>
      </c>
      <c r="P99" s="456" t="str">
        <f ca="1">IF(N(O99)&gt;0,VLOOKUP(O99,Hraci!$A$1:$I$1500,2,0),IF(TYPE(INDIRECT(ADDRESS(ROW() + $A$9-8 + (ROW()-11)*4,2,1,1,"Internet")))&gt;1,INDIRECT(ADDRESS(ROW() + $A$9-8 + (ROW()-11)*4,2,1,1,"Internet"))," "))</f>
        <v xml:space="preserve"> </v>
      </c>
      <c r="Q99" s="457" t="str">
        <f ca="1">IF(N(O99)&gt;0,VLOOKUP(O99,Hraci!$A$1:$I$1500,3,0)," ")</f>
        <v xml:space="preserve"> </v>
      </c>
      <c r="R99" s="457" t="str">
        <f ca="1">IF(N(O99)&gt;0,VLOOKUP(O99,Hraci!$A$1:$I$1500,5,0),IF(TYPE(INDIRECT(ADDRESS(ROW() + $A$9-8 + (ROW()-11)*4,3,1,1,"Internet")))&gt;1,INDIRECT(ADDRESS(ROW() + $A$9-8 + (ROW()-11)*4,3,1,1,"Internet"))," "))</f>
        <v xml:space="preserve"> </v>
      </c>
      <c r="S99" s="395">
        <f ca="1">IF(N(O99)=0,9999,VLOOKUP(O99,Hraci!$A$1:$I$1500,8,0))</f>
        <v>9999</v>
      </c>
      <c r="T99" s="458">
        <f ca="1">IF(N(O99)=0,0,VLOOKUP(O99,Hraci!$A$1:$I$1500,9,0))</f>
        <v>0</v>
      </c>
      <c r="U99" s="455" t="str">
        <f t="shared" ca="1" si="40"/>
        <v/>
      </c>
      <c r="V99" s="456" t="str">
        <f ca="1">IF(N(U99)&gt;0,VLOOKUP(U99,Hraci!$A$1:$I$1500,2,0),IF(TYPE(INDIRECT(ADDRESS(ROW() + $A$9-7 + (ROW()-11)*4,2,1,1,"Internet")))&gt;1,INDIRECT(ADDRESS(ROW() + $A$9-7 + (ROW()-11)*4,2,1,1,"Internet"))," "))</f>
        <v xml:space="preserve"> </v>
      </c>
      <c r="W99" s="457" t="str">
        <f ca="1">IF(N(U99)&gt;0,VLOOKUP(U99,Hraci!$A$1:$I$1500,3,0)," ")</f>
        <v xml:space="preserve"> </v>
      </c>
      <c r="X99" s="457" t="str">
        <f ca="1">IF(N(U99)&gt;0,VLOOKUP(U99,Hraci!$A$1:$I$1500,5,0),IF(TYPE(INDIRECT(ADDRESS(ROW() + $A$9-7 + (ROW()-11)*4,3,1,1,"Internet")))&gt;1,INDIRECT(ADDRESS(ROW() + $A$9-7 + (ROW()-11)*4,3,1,1,"Internet"))," "))</f>
        <v xml:space="preserve"> </v>
      </c>
      <c r="Y99" s="395">
        <f ca="1">IF(N(U99)=0,9999,VLOOKUP(U99,Hraci!$A$1:$I$1500,8,0))</f>
        <v>9999</v>
      </c>
      <c r="Z99" s="458">
        <f ca="1">IF(N(U99)=0,0,VLOOKUP(U99,Hraci!$A$1:$I$1500,9,0))</f>
        <v>0</v>
      </c>
      <c r="AA99" s="455" t="str">
        <f t="shared" ca="1" si="41"/>
        <v/>
      </c>
      <c r="AB99" s="456" t="str">
        <f ca="1">IF(N(AA99)&gt;0,VLOOKUP(AA99,Hraci!$A$1:$I$1500,2,0)," ")</f>
        <v xml:space="preserve"> </v>
      </c>
      <c r="AC99" s="457" t="str">
        <f ca="1">IF(N(AA99)&gt;0,VLOOKUP(AA99,Hraci!$A$1:$I$1500,3,0)," ")</f>
        <v xml:space="preserve"> </v>
      </c>
      <c r="AD99" s="457" t="str">
        <f ca="1">IF(N(AA99)&gt;0,VLOOKUP(AA99,Hraci!$A$1:$I$1500,5,0)," ")</f>
        <v xml:space="preserve"> </v>
      </c>
      <c r="AE99" s="395">
        <f ca="1">IF(N(AA99)=0,9999,VLOOKUP(AA99,Hraci!$A$1:$I$1500,8,0))</f>
        <v>9999</v>
      </c>
      <c r="AF99" s="458">
        <f ca="1">IF(N(AA99)=0,0,VLOOKUP(AA99,Hraci!$A$1:$I$1500,9,0))</f>
        <v>0</v>
      </c>
      <c r="AG99" s="459"/>
      <c r="AH99" s="465">
        <f ca="1">IF(TYPE(VLOOKUP(H99,Nasazení!$A$3:$E$130,5,0))&lt;4,VLOOKUP(H99,Nasazení!$A$3:$E$130,5,0),0)</f>
        <v>0</v>
      </c>
      <c r="AI99" s="460" t="str">
        <f ca="1">IF(N($AH99)&gt;0,VLOOKUP($AH99,Body!$A$4:$F$259,5,0),"")</f>
        <v/>
      </c>
      <c r="AJ99" s="461" t="str">
        <f ca="1">IF(N($AH99)&gt;0,VLOOKUP($AH99,Body!$A$4:$F$259,6,0),"")</f>
        <v/>
      </c>
      <c r="AK99" s="460" t="str">
        <f ca="1">IF(N($AH99)&gt;0,VLOOKUP($AH99,Body!$A$4:$F$259,2,0),"")</f>
        <v/>
      </c>
      <c r="AL99" s="462" t="str">
        <f t="shared" ca="1" si="42"/>
        <v/>
      </c>
      <c r="AM99" s="463">
        <f t="shared" ca="1" si="43"/>
        <v>0</v>
      </c>
      <c r="AN99" s="395">
        <f ca="1">IF(OR(TYPE(I99)&gt;1,TYPE(MATCH(I99,I100:I$139,0))&gt;1),0,MATCH(I99,I100:I$139,0))+IF(OR(TYPE(I99)&gt;1,TYPE(MATCH(I99,O$11:O$139,0))&gt;1),0,MATCH(I99,O$11:O$139,0))+IF(OR(TYPE(I99)&gt;1,TYPE(MATCH(I99,U$11:U$139,0))&gt;1),0,MATCH(I99,U$11:U$139,0))+IF(OR(TYPE(I99)&gt;1,TYPE(MATCH(I99,AA$11:AA$139,0))&gt;1),0,MATCH(I99,AA$11:AA$139,0))</f>
        <v>0</v>
      </c>
      <c r="AO99" s="395">
        <f ca="1">IF(OR(TYPE(O99)&gt;1,TYPE(MATCH(O99,I$11:I$139,0))&gt;1),0,MATCH(O99,I$11:I$139,0))+IF(OR(TYPE(O99)&gt;1,TYPE(MATCH(O99,O100:O$139,0))&gt;1),0,MATCH(O99,O100:O$139,0))+IF(OR(TYPE(O99)&gt;1,TYPE(MATCH(O99,U$11:U$139,0))&gt;1),0,MATCH(O99,U$11:U$139,0))+IF(OR(TYPE(O99)&gt;1,TYPE(MATCH(O99,AA$11:AA$139,0))&gt;1),0,MATCH(O99,AA$11:AA$139,0))</f>
        <v>0</v>
      </c>
      <c r="AP99" s="395">
        <f ca="1">IF(OR(TYPE(U99)&gt;1,TYPE(MATCH(U99,I$11:I$139,0))&gt;1),0,MATCH(U99,I$11:I$139,0))+IF(OR(TYPE(U99)&gt;1,TYPE(MATCH(U99,O$11:O$139,0))&gt;1),0,MATCH(U99,O$11:O$139,0))+IF(OR(TYPE(U99)&gt;1,TYPE(MATCH(U99,U100:U$139,0))&gt;1),0,MATCH(U99,U100:U$139,0))+IF(OR(TYPE(U99)&gt;1,TYPE(MATCH(U99,AA$11:AA$139,0))&gt;1),0,MATCH(U99,AA$11:AA$139,0))</f>
        <v>0</v>
      </c>
      <c r="AQ99" s="395">
        <f ca="1">IF(OR(TYPE(AA99)&gt;1,TYPE(MATCH(AA99,I$11:I$139,0))&gt;1),0,MATCH(AA99,I$11:I$139,0))+IF(OR(TYPE(AA99)&gt;1,TYPE(MATCH(AA99,O$11:O$139,0))&gt;1),0,MATCH(AA99,O$11:O$139,0))+IF(OR(TYPE(AA99)&gt;1,TYPE(MATCH(AA99,U$11:U$139,0))&gt;1),0,MATCH(U99,U$11:U$139,0))+IF(OR(TYPE(AA99)&gt;1,TYPE(MATCH(AA99,AA100:AA$139,0))&gt;1),0,MATCH(AA99,AA100:AA$139,0))</f>
        <v>0</v>
      </c>
      <c r="AR99" s="395">
        <f t="shared" ca="1" si="44"/>
        <v>0</v>
      </c>
      <c r="BF99" s="395">
        <f t="shared" si="45"/>
        <v>89</v>
      </c>
    </row>
    <row r="100" spans="1:58" ht="12.9">
      <c r="A100" s="387">
        <f t="shared" ca="1" si="30"/>
        <v>0</v>
      </c>
      <c r="B100" s="387">
        <f t="shared" ca="1" si="31"/>
        <v>0</v>
      </c>
      <c r="C100" s="387">
        <f t="shared" ca="1" si="32"/>
        <v>0</v>
      </c>
      <c r="D100" s="387">
        <f t="shared" ca="1" si="33"/>
        <v>99999</v>
      </c>
      <c r="E100" s="387">
        <f t="shared" ca="1" si="34"/>
        <v>9999</v>
      </c>
      <c r="F100" s="417" t="str">
        <f t="shared" ca="1" si="35"/>
        <v>00000000000000000000020552</v>
      </c>
      <c r="G100" s="453" t="b">
        <f t="shared" ca="1" si="36"/>
        <v>1</v>
      </c>
      <c r="H100" s="454">
        <f t="shared" si="37"/>
        <v>90</v>
      </c>
      <c r="I100" s="455" t="str">
        <f t="shared" ca="1" si="38"/>
        <v/>
      </c>
      <c r="J100" s="456" t="str">
        <f ca="1">IF(N(I100)&gt;0,VLOOKUP(I100,Hraci!$A$1:$I$1500,2,0),IF(TYPE(INDIRECT(ADDRESS(ROW() + $A$9-9 + (ROW()-11)*4,2,1,1,"Internet")))&gt;1,INDIRECT(ADDRESS(ROW() + $A$9-9 + (ROW()-11)*4,2,1,1,"Internet"))," "))</f>
        <v xml:space="preserve"> </v>
      </c>
      <c r="K100" s="457" t="str">
        <f ca="1">IF(N(I100)&gt;0,VLOOKUP(I100,Hraci!$A$1:$I$1500,3,0)," ")</f>
        <v xml:space="preserve"> </v>
      </c>
      <c r="L100" s="457" t="str">
        <f ca="1">IF(N(I100)&gt;0,VLOOKUP(I100,Hraci!$A$1:$I$1500,5,0),IF(TYPE(INDIRECT(ADDRESS(ROW() + $A$9-9 + (ROW()-11)*4,3,1,1,"Internet")))&gt;1,INDIRECT(ADDRESS(ROW() + $A$9-9 + (ROW()-11)*4,3,1,1,"Internet"))," "))</f>
        <v xml:space="preserve"> </v>
      </c>
      <c r="M100" s="395">
        <f ca="1">IF(N(I100)=0,9999,VLOOKUP(I100,Hraci!$A$1:$I$1500,8,0))</f>
        <v>9999</v>
      </c>
      <c r="N100" s="458">
        <f ca="1">IF(N(I100)=0,0,VLOOKUP(I100,Hraci!$A$1:$I$1500,9,0))</f>
        <v>0</v>
      </c>
      <c r="O100" s="455" t="str">
        <f t="shared" ca="1" si="39"/>
        <v/>
      </c>
      <c r="P100" s="456" t="str">
        <f ca="1">IF(N(O100)&gt;0,VLOOKUP(O100,Hraci!$A$1:$I$1500,2,0),IF(TYPE(INDIRECT(ADDRESS(ROW() + $A$9-8 + (ROW()-11)*4,2,1,1,"Internet")))&gt;1,INDIRECT(ADDRESS(ROW() + $A$9-8 + (ROW()-11)*4,2,1,1,"Internet"))," "))</f>
        <v xml:space="preserve"> </v>
      </c>
      <c r="Q100" s="457" t="str">
        <f ca="1">IF(N(O100)&gt;0,VLOOKUP(O100,Hraci!$A$1:$I$1500,3,0)," ")</f>
        <v xml:space="preserve"> </v>
      </c>
      <c r="R100" s="457" t="str">
        <f ca="1">IF(N(O100)&gt;0,VLOOKUP(O100,Hraci!$A$1:$I$1500,5,0),IF(TYPE(INDIRECT(ADDRESS(ROW() + $A$9-8 + (ROW()-11)*4,3,1,1,"Internet")))&gt;1,INDIRECT(ADDRESS(ROW() + $A$9-8 + (ROW()-11)*4,3,1,1,"Internet"))," "))</f>
        <v xml:space="preserve"> </v>
      </c>
      <c r="S100" s="395">
        <f ca="1">IF(N(O100)=0,9999,VLOOKUP(O100,Hraci!$A$1:$I$1500,8,0))</f>
        <v>9999</v>
      </c>
      <c r="T100" s="458">
        <f ca="1">IF(N(O100)=0,0,VLOOKUP(O100,Hraci!$A$1:$I$1500,9,0))</f>
        <v>0</v>
      </c>
      <c r="U100" s="455" t="str">
        <f t="shared" ca="1" si="40"/>
        <v/>
      </c>
      <c r="V100" s="456" t="str">
        <f ca="1">IF(N(U100)&gt;0,VLOOKUP(U100,Hraci!$A$1:$I$1500,2,0),IF(TYPE(INDIRECT(ADDRESS(ROW() + $A$9-7 + (ROW()-11)*4,2,1,1,"Internet")))&gt;1,INDIRECT(ADDRESS(ROW() + $A$9-7 + (ROW()-11)*4,2,1,1,"Internet"))," "))</f>
        <v xml:space="preserve"> </v>
      </c>
      <c r="W100" s="457" t="str">
        <f ca="1">IF(N(U100)&gt;0,VLOOKUP(U100,Hraci!$A$1:$I$1500,3,0)," ")</f>
        <v xml:space="preserve"> </v>
      </c>
      <c r="X100" s="457" t="str">
        <f ca="1">IF(N(U100)&gt;0,VLOOKUP(U100,Hraci!$A$1:$I$1500,5,0),IF(TYPE(INDIRECT(ADDRESS(ROW() + $A$9-7 + (ROW()-11)*4,3,1,1,"Internet")))&gt;1,INDIRECT(ADDRESS(ROW() + $A$9-7 + (ROW()-11)*4,3,1,1,"Internet"))," "))</f>
        <v xml:space="preserve"> </v>
      </c>
      <c r="Y100" s="395">
        <f ca="1">IF(N(U100)=0,9999,VLOOKUP(U100,Hraci!$A$1:$I$1500,8,0))</f>
        <v>9999</v>
      </c>
      <c r="Z100" s="458">
        <f ca="1">IF(N(U100)=0,0,VLOOKUP(U100,Hraci!$A$1:$I$1500,9,0))</f>
        <v>0</v>
      </c>
      <c r="AA100" s="455" t="str">
        <f t="shared" ca="1" si="41"/>
        <v/>
      </c>
      <c r="AB100" s="456" t="str">
        <f ca="1">IF(N(AA100)&gt;0,VLOOKUP(AA100,Hraci!$A$1:$I$1500,2,0)," ")</f>
        <v xml:space="preserve"> </v>
      </c>
      <c r="AC100" s="457" t="str">
        <f ca="1">IF(N(AA100)&gt;0,VLOOKUP(AA100,Hraci!$A$1:$I$1500,3,0)," ")</f>
        <v xml:space="preserve"> </v>
      </c>
      <c r="AD100" s="457" t="str">
        <f ca="1">IF(N(AA100)&gt;0,VLOOKUP(AA100,Hraci!$A$1:$I$1500,5,0)," ")</f>
        <v xml:space="preserve"> </v>
      </c>
      <c r="AE100" s="395">
        <f ca="1">IF(N(AA100)=0,9999,VLOOKUP(AA100,Hraci!$A$1:$I$1500,8,0))</f>
        <v>9999</v>
      </c>
      <c r="AF100" s="458">
        <f ca="1">IF(N(AA100)=0,0,VLOOKUP(AA100,Hraci!$A$1:$I$1500,9,0))</f>
        <v>0</v>
      </c>
      <c r="AG100" s="459"/>
      <c r="AH100" s="465">
        <f ca="1">IF(TYPE(VLOOKUP(H100,Nasazení!$A$3:$E$130,5,0))&lt;4,VLOOKUP(H100,Nasazení!$A$3:$E$130,5,0),0)</f>
        <v>0</v>
      </c>
      <c r="AI100" s="460" t="str">
        <f ca="1">IF(N($AH100)&gt;0,VLOOKUP($AH100,Body!$A$4:$F$259,5,0),"")</f>
        <v/>
      </c>
      <c r="AJ100" s="461" t="str">
        <f ca="1">IF(N($AH100)&gt;0,VLOOKUP($AH100,Body!$A$4:$F$259,6,0),"")</f>
        <v/>
      </c>
      <c r="AK100" s="460" t="str">
        <f ca="1">IF(N($AH100)&gt;0,VLOOKUP($AH100,Body!$A$4:$F$259,2,0),"")</f>
        <v/>
      </c>
      <c r="AL100" s="462" t="str">
        <f t="shared" ca="1" si="42"/>
        <v/>
      </c>
      <c r="AM100" s="463">
        <f t="shared" ca="1" si="43"/>
        <v>0</v>
      </c>
      <c r="AN100" s="395">
        <f ca="1">IF(OR(TYPE(I100)&gt;1,TYPE(MATCH(I100,I101:I$139,0))&gt;1),0,MATCH(I100,I101:I$139,0))+IF(OR(TYPE(I100)&gt;1,TYPE(MATCH(I100,O$11:O$139,0))&gt;1),0,MATCH(I100,O$11:O$139,0))+IF(OR(TYPE(I100)&gt;1,TYPE(MATCH(I100,U$11:U$139,0))&gt;1),0,MATCH(I100,U$11:U$139,0))+IF(OR(TYPE(I100)&gt;1,TYPE(MATCH(I100,AA$11:AA$139,0))&gt;1),0,MATCH(I100,AA$11:AA$139,0))</f>
        <v>0</v>
      </c>
      <c r="AO100" s="395">
        <f ca="1">IF(OR(TYPE(O100)&gt;1,TYPE(MATCH(O100,I$11:I$139,0))&gt;1),0,MATCH(O100,I$11:I$139,0))+IF(OR(TYPE(O100)&gt;1,TYPE(MATCH(O100,O101:O$139,0))&gt;1),0,MATCH(O100,O101:O$139,0))+IF(OR(TYPE(O100)&gt;1,TYPE(MATCH(O100,U$11:U$139,0))&gt;1),0,MATCH(O100,U$11:U$139,0))+IF(OR(TYPE(O100)&gt;1,TYPE(MATCH(O100,AA$11:AA$139,0))&gt;1),0,MATCH(O100,AA$11:AA$139,0))</f>
        <v>0</v>
      </c>
      <c r="AP100" s="395">
        <f ca="1">IF(OR(TYPE(U100)&gt;1,TYPE(MATCH(U100,I$11:I$139,0))&gt;1),0,MATCH(U100,I$11:I$139,0))+IF(OR(TYPE(U100)&gt;1,TYPE(MATCH(U100,O$11:O$139,0))&gt;1),0,MATCH(U100,O$11:O$139,0))+IF(OR(TYPE(U100)&gt;1,TYPE(MATCH(U100,U101:U$139,0))&gt;1),0,MATCH(U100,U101:U$139,0))+IF(OR(TYPE(U100)&gt;1,TYPE(MATCH(U100,AA$11:AA$139,0))&gt;1),0,MATCH(U100,AA$11:AA$139,0))</f>
        <v>0</v>
      </c>
      <c r="AQ100" s="395">
        <f ca="1">IF(OR(TYPE(AA100)&gt;1,TYPE(MATCH(AA100,I$11:I$139,0))&gt;1),0,MATCH(AA100,I$11:I$139,0))+IF(OR(TYPE(AA100)&gt;1,TYPE(MATCH(AA100,O$11:O$139,0))&gt;1),0,MATCH(AA100,O$11:O$139,0))+IF(OR(TYPE(AA100)&gt;1,TYPE(MATCH(AA100,U$11:U$139,0))&gt;1),0,MATCH(U100,U$11:U$139,0))+IF(OR(TYPE(AA100)&gt;1,TYPE(MATCH(AA100,AA101:AA$139,0))&gt;1),0,MATCH(AA100,AA101:AA$139,0))</f>
        <v>0</v>
      </c>
      <c r="AR100" s="395">
        <f t="shared" ca="1" si="44"/>
        <v>0</v>
      </c>
      <c r="BF100" s="395">
        <f t="shared" si="45"/>
        <v>90</v>
      </c>
    </row>
    <row r="101" spans="1:58" ht="12.9">
      <c r="A101" s="387">
        <f t="shared" ca="1" si="30"/>
        <v>0</v>
      </c>
      <c r="B101" s="387">
        <f t="shared" ca="1" si="31"/>
        <v>0</v>
      </c>
      <c r="C101" s="387">
        <f t="shared" ca="1" si="32"/>
        <v>0</v>
      </c>
      <c r="D101" s="387">
        <f t="shared" ca="1" si="33"/>
        <v>99999</v>
      </c>
      <c r="E101" s="387">
        <f t="shared" ca="1" si="34"/>
        <v>9999</v>
      </c>
      <c r="F101" s="417" t="str">
        <f t="shared" ca="1" si="35"/>
        <v>00000000000000000000270066</v>
      </c>
      <c r="G101" s="453" t="b">
        <f t="shared" ca="1" si="36"/>
        <v>1</v>
      </c>
      <c r="H101" s="454">
        <f t="shared" si="37"/>
        <v>91</v>
      </c>
      <c r="I101" s="455" t="str">
        <f t="shared" ca="1" si="38"/>
        <v/>
      </c>
      <c r="J101" s="456" t="str">
        <f ca="1">IF(N(I101)&gt;0,VLOOKUP(I101,Hraci!$A$1:$I$1500,2,0),IF(TYPE(INDIRECT(ADDRESS(ROW() + $A$9-9 + (ROW()-11)*4,2,1,1,"Internet")))&gt;1,INDIRECT(ADDRESS(ROW() + $A$9-9 + (ROW()-11)*4,2,1,1,"Internet"))," "))</f>
        <v xml:space="preserve"> </v>
      </c>
      <c r="K101" s="457" t="str">
        <f ca="1">IF(N(I101)&gt;0,VLOOKUP(I101,Hraci!$A$1:$I$1500,3,0)," ")</f>
        <v xml:space="preserve"> </v>
      </c>
      <c r="L101" s="457" t="str">
        <f ca="1">IF(N(I101)&gt;0,VLOOKUP(I101,Hraci!$A$1:$I$1500,5,0),IF(TYPE(INDIRECT(ADDRESS(ROW() + $A$9-9 + (ROW()-11)*4,3,1,1,"Internet")))&gt;1,INDIRECT(ADDRESS(ROW() + $A$9-9 + (ROW()-11)*4,3,1,1,"Internet"))," "))</f>
        <v xml:space="preserve"> </v>
      </c>
      <c r="M101" s="395">
        <f ca="1">IF(N(I101)=0,9999,VLOOKUP(I101,Hraci!$A$1:$I$1500,8,0))</f>
        <v>9999</v>
      </c>
      <c r="N101" s="458">
        <f ca="1">IF(N(I101)=0,0,VLOOKUP(I101,Hraci!$A$1:$I$1500,9,0))</f>
        <v>0</v>
      </c>
      <c r="O101" s="455" t="str">
        <f t="shared" ca="1" si="39"/>
        <v/>
      </c>
      <c r="P101" s="456" t="str">
        <f ca="1">IF(N(O101)&gt;0,VLOOKUP(O101,Hraci!$A$1:$I$1500,2,0),IF(TYPE(INDIRECT(ADDRESS(ROW() + $A$9-8 + (ROW()-11)*4,2,1,1,"Internet")))&gt;1,INDIRECT(ADDRESS(ROW() + $A$9-8 + (ROW()-11)*4,2,1,1,"Internet"))," "))</f>
        <v xml:space="preserve"> </v>
      </c>
      <c r="Q101" s="457" t="str">
        <f ca="1">IF(N(O101)&gt;0,VLOOKUP(O101,Hraci!$A$1:$I$1500,3,0)," ")</f>
        <v xml:space="preserve"> </v>
      </c>
      <c r="R101" s="457" t="str">
        <f ca="1">IF(N(O101)&gt;0,VLOOKUP(O101,Hraci!$A$1:$I$1500,5,0),IF(TYPE(INDIRECT(ADDRESS(ROW() + $A$9-8 + (ROW()-11)*4,3,1,1,"Internet")))&gt;1,INDIRECT(ADDRESS(ROW() + $A$9-8 + (ROW()-11)*4,3,1,1,"Internet"))," "))</f>
        <v xml:space="preserve"> </v>
      </c>
      <c r="S101" s="395">
        <f ca="1">IF(N(O101)=0,9999,VLOOKUP(O101,Hraci!$A$1:$I$1500,8,0))</f>
        <v>9999</v>
      </c>
      <c r="T101" s="458">
        <f ca="1">IF(N(O101)=0,0,VLOOKUP(O101,Hraci!$A$1:$I$1500,9,0))</f>
        <v>0</v>
      </c>
      <c r="U101" s="455" t="str">
        <f t="shared" ca="1" si="40"/>
        <v/>
      </c>
      <c r="V101" s="456" t="str">
        <f ca="1">IF(N(U101)&gt;0,VLOOKUP(U101,Hraci!$A$1:$I$1500,2,0),IF(TYPE(INDIRECT(ADDRESS(ROW() + $A$9-7 + (ROW()-11)*4,2,1,1,"Internet")))&gt;1,INDIRECT(ADDRESS(ROW() + $A$9-7 + (ROW()-11)*4,2,1,1,"Internet"))," "))</f>
        <v xml:space="preserve"> </v>
      </c>
      <c r="W101" s="457" t="str">
        <f ca="1">IF(N(U101)&gt;0,VLOOKUP(U101,Hraci!$A$1:$I$1500,3,0)," ")</f>
        <v xml:space="preserve"> </v>
      </c>
      <c r="X101" s="457" t="str">
        <f ca="1">IF(N(U101)&gt;0,VLOOKUP(U101,Hraci!$A$1:$I$1500,5,0),IF(TYPE(INDIRECT(ADDRESS(ROW() + $A$9-7 + (ROW()-11)*4,3,1,1,"Internet")))&gt;1,INDIRECT(ADDRESS(ROW() + $A$9-7 + (ROW()-11)*4,3,1,1,"Internet"))," "))</f>
        <v xml:space="preserve"> </v>
      </c>
      <c r="Y101" s="395">
        <f ca="1">IF(N(U101)=0,9999,VLOOKUP(U101,Hraci!$A$1:$I$1500,8,0))</f>
        <v>9999</v>
      </c>
      <c r="Z101" s="458">
        <f ca="1">IF(N(U101)=0,0,VLOOKUP(U101,Hraci!$A$1:$I$1500,9,0))</f>
        <v>0</v>
      </c>
      <c r="AA101" s="455" t="str">
        <f t="shared" ca="1" si="41"/>
        <v/>
      </c>
      <c r="AB101" s="456" t="str">
        <f ca="1">IF(N(AA101)&gt;0,VLOOKUP(AA101,Hraci!$A$1:$I$1500,2,0)," ")</f>
        <v xml:space="preserve"> </v>
      </c>
      <c r="AC101" s="457" t="str">
        <f ca="1">IF(N(AA101)&gt;0,VLOOKUP(AA101,Hraci!$A$1:$I$1500,3,0)," ")</f>
        <v xml:space="preserve"> </v>
      </c>
      <c r="AD101" s="457" t="str">
        <f ca="1">IF(N(AA101)&gt;0,VLOOKUP(AA101,Hraci!$A$1:$I$1500,5,0)," ")</f>
        <v xml:space="preserve"> </v>
      </c>
      <c r="AE101" s="395">
        <f ca="1">IF(N(AA101)=0,9999,VLOOKUP(AA101,Hraci!$A$1:$I$1500,8,0))</f>
        <v>9999</v>
      </c>
      <c r="AF101" s="458">
        <f ca="1">IF(N(AA101)=0,0,VLOOKUP(AA101,Hraci!$A$1:$I$1500,9,0))</f>
        <v>0</v>
      </c>
      <c r="AG101" s="459"/>
      <c r="AH101" s="465">
        <f ca="1">IF(TYPE(VLOOKUP(H101,Nasazení!$A$3:$E$130,5,0))&lt;4,VLOOKUP(H101,Nasazení!$A$3:$E$130,5,0),0)</f>
        <v>0</v>
      </c>
      <c r="AI101" s="460" t="str">
        <f ca="1">IF(N($AH101)&gt;0,VLOOKUP($AH101,Body!$A$4:$F$259,5,0),"")</f>
        <v/>
      </c>
      <c r="AJ101" s="461" t="str">
        <f ca="1">IF(N($AH101)&gt;0,VLOOKUP($AH101,Body!$A$4:$F$259,6,0),"")</f>
        <v/>
      </c>
      <c r="AK101" s="460" t="str">
        <f ca="1">IF(N($AH101)&gt;0,VLOOKUP($AH101,Body!$A$4:$F$259,2,0),"")</f>
        <v/>
      </c>
      <c r="AL101" s="462" t="str">
        <f t="shared" ca="1" si="42"/>
        <v/>
      </c>
      <c r="AM101" s="463">
        <f t="shared" ca="1" si="43"/>
        <v>0</v>
      </c>
      <c r="AN101" s="395">
        <f ca="1">IF(OR(TYPE(I101)&gt;1,TYPE(MATCH(I101,I102:I$139,0))&gt;1),0,MATCH(I101,I102:I$139,0))+IF(OR(TYPE(I101)&gt;1,TYPE(MATCH(I101,O$11:O$139,0))&gt;1),0,MATCH(I101,O$11:O$139,0))+IF(OR(TYPE(I101)&gt;1,TYPE(MATCH(I101,U$11:U$139,0))&gt;1),0,MATCH(I101,U$11:U$139,0))+IF(OR(TYPE(I101)&gt;1,TYPE(MATCH(I101,AA$11:AA$139,0))&gt;1),0,MATCH(I101,AA$11:AA$139,0))</f>
        <v>0</v>
      </c>
      <c r="AO101" s="395">
        <f ca="1">IF(OR(TYPE(O101)&gt;1,TYPE(MATCH(O101,I$11:I$139,0))&gt;1),0,MATCH(O101,I$11:I$139,0))+IF(OR(TYPE(O101)&gt;1,TYPE(MATCH(O101,O102:O$139,0))&gt;1),0,MATCH(O101,O102:O$139,0))+IF(OR(TYPE(O101)&gt;1,TYPE(MATCH(O101,U$11:U$139,0))&gt;1),0,MATCH(O101,U$11:U$139,0))+IF(OR(TYPE(O101)&gt;1,TYPE(MATCH(O101,AA$11:AA$139,0))&gt;1),0,MATCH(O101,AA$11:AA$139,0))</f>
        <v>0</v>
      </c>
      <c r="AP101" s="395">
        <f ca="1">IF(OR(TYPE(U101)&gt;1,TYPE(MATCH(U101,I$11:I$139,0))&gt;1),0,MATCH(U101,I$11:I$139,0))+IF(OR(TYPE(U101)&gt;1,TYPE(MATCH(U101,O$11:O$139,0))&gt;1),0,MATCH(U101,O$11:O$139,0))+IF(OR(TYPE(U101)&gt;1,TYPE(MATCH(U101,U102:U$139,0))&gt;1),0,MATCH(U101,U102:U$139,0))+IF(OR(TYPE(U101)&gt;1,TYPE(MATCH(U101,AA$11:AA$139,0))&gt;1),0,MATCH(U101,AA$11:AA$139,0))</f>
        <v>0</v>
      </c>
      <c r="AQ101" s="395">
        <f ca="1">IF(OR(TYPE(AA101)&gt;1,TYPE(MATCH(AA101,I$11:I$139,0))&gt;1),0,MATCH(AA101,I$11:I$139,0))+IF(OR(TYPE(AA101)&gt;1,TYPE(MATCH(AA101,O$11:O$139,0))&gt;1),0,MATCH(AA101,O$11:O$139,0))+IF(OR(TYPE(AA101)&gt;1,TYPE(MATCH(AA101,U$11:U$139,0))&gt;1),0,MATCH(U101,U$11:U$139,0))+IF(OR(TYPE(AA101)&gt;1,TYPE(MATCH(AA101,AA102:AA$139,0))&gt;1),0,MATCH(AA101,AA102:AA$139,0))</f>
        <v>0</v>
      </c>
      <c r="AR101" s="395">
        <f t="shared" ca="1" si="44"/>
        <v>0</v>
      </c>
      <c r="BF101" s="395">
        <f t="shared" si="45"/>
        <v>91</v>
      </c>
    </row>
    <row r="102" spans="1:58" ht="12.9">
      <c r="A102" s="387">
        <f t="shared" ca="1" si="30"/>
        <v>0</v>
      </c>
      <c r="B102" s="387">
        <f t="shared" ca="1" si="31"/>
        <v>0</v>
      </c>
      <c r="C102" s="387">
        <f t="shared" ca="1" si="32"/>
        <v>0</v>
      </c>
      <c r="D102" s="387">
        <f t="shared" ca="1" si="33"/>
        <v>99999</v>
      </c>
      <c r="E102" s="387">
        <f t="shared" ca="1" si="34"/>
        <v>9999</v>
      </c>
      <c r="F102" s="417" t="str">
        <f t="shared" ca="1" si="35"/>
        <v>00000000000000000000404528</v>
      </c>
      <c r="G102" s="453" t="b">
        <f t="shared" ca="1" si="36"/>
        <v>1</v>
      </c>
      <c r="H102" s="454">
        <f t="shared" si="37"/>
        <v>92</v>
      </c>
      <c r="I102" s="455" t="str">
        <f t="shared" ca="1" si="38"/>
        <v/>
      </c>
      <c r="J102" s="456" t="str">
        <f ca="1">IF(N(I102)&gt;0,VLOOKUP(I102,Hraci!$A$1:$I$1500,2,0),IF(TYPE(INDIRECT(ADDRESS(ROW() + $A$9-9 + (ROW()-11)*4,2,1,1,"Internet")))&gt;1,INDIRECT(ADDRESS(ROW() + $A$9-9 + (ROW()-11)*4,2,1,1,"Internet"))," "))</f>
        <v xml:space="preserve"> </v>
      </c>
      <c r="K102" s="457" t="str">
        <f ca="1">IF(N(I102)&gt;0,VLOOKUP(I102,Hraci!$A$1:$I$1500,3,0)," ")</f>
        <v xml:space="preserve"> </v>
      </c>
      <c r="L102" s="457" t="str">
        <f ca="1">IF(N(I102)&gt;0,VLOOKUP(I102,Hraci!$A$1:$I$1500,5,0),IF(TYPE(INDIRECT(ADDRESS(ROW() + $A$9-9 + (ROW()-11)*4,3,1,1,"Internet")))&gt;1,INDIRECT(ADDRESS(ROW() + $A$9-9 + (ROW()-11)*4,3,1,1,"Internet"))," "))</f>
        <v xml:space="preserve"> </v>
      </c>
      <c r="M102" s="395">
        <f ca="1">IF(N(I102)=0,9999,VLOOKUP(I102,Hraci!$A$1:$I$1500,8,0))</f>
        <v>9999</v>
      </c>
      <c r="N102" s="458">
        <f ca="1">IF(N(I102)=0,0,VLOOKUP(I102,Hraci!$A$1:$I$1500,9,0))</f>
        <v>0</v>
      </c>
      <c r="O102" s="455" t="str">
        <f t="shared" ca="1" si="39"/>
        <v/>
      </c>
      <c r="P102" s="456" t="str">
        <f ca="1">IF(N(O102)&gt;0,VLOOKUP(O102,Hraci!$A$1:$I$1500,2,0),IF(TYPE(INDIRECT(ADDRESS(ROW() + $A$9-8 + (ROW()-11)*4,2,1,1,"Internet")))&gt;1,INDIRECT(ADDRESS(ROW() + $A$9-8 + (ROW()-11)*4,2,1,1,"Internet"))," "))</f>
        <v xml:space="preserve"> </v>
      </c>
      <c r="Q102" s="457" t="str">
        <f ca="1">IF(N(O102)&gt;0,VLOOKUP(O102,Hraci!$A$1:$I$1500,3,0)," ")</f>
        <v xml:space="preserve"> </v>
      </c>
      <c r="R102" s="457" t="str">
        <f ca="1">IF(N(O102)&gt;0,VLOOKUP(O102,Hraci!$A$1:$I$1500,5,0),IF(TYPE(INDIRECT(ADDRESS(ROW() + $A$9-8 + (ROW()-11)*4,3,1,1,"Internet")))&gt;1,INDIRECT(ADDRESS(ROW() + $A$9-8 + (ROW()-11)*4,3,1,1,"Internet"))," "))</f>
        <v xml:space="preserve"> </v>
      </c>
      <c r="S102" s="395">
        <f ca="1">IF(N(O102)=0,9999,VLOOKUP(O102,Hraci!$A$1:$I$1500,8,0))</f>
        <v>9999</v>
      </c>
      <c r="T102" s="458">
        <f ca="1">IF(N(O102)=0,0,VLOOKUP(O102,Hraci!$A$1:$I$1500,9,0))</f>
        <v>0</v>
      </c>
      <c r="U102" s="455" t="str">
        <f t="shared" ca="1" si="40"/>
        <v/>
      </c>
      <c r="V102" s="456" t="str">
        <f ca="1">IF(N(U102)&gt;0,VLOOKUP(U102,Hraci!$A$1:$I$1500,2,0),IF(TYPE(INDIRECT(ADDRESS(ROW() + $A$9-7 + (ROW()-11)*4,2,1,1,"Internet")))&gt;1,INDIRECT(ADDRESS(ROW() + $A$9-7 + (ROW()-11)*4,2,1,1,"Internet"))," "))</f>
        <v xml:space="preserve"> </v>
      </c>
      <c r="W102" s="457" t="str">
        <f ca="1">IF(N(U102)&gt;0,VLOOKUP(U102,Hraci!$A$1:$I$1500,3,0)," ")</f>
        <v xml:space="preserve"> </v>
      </c>
      <c r="X102" s="457" t="str">
        <f ca="1">IF(N(U102)&gt;0,VLOOKUP(U102,Hraci!$A$1:$I$1500,5,0),IF(TYPE(INDIRECT(ADDRESS(ROW() + $A$9-7 + (ROW()-11)*4,3,1,1,"Internet")))&gt;1,INDIRECT(ADDRESS(ROW() + $A$9-7 + (ROW()-11)*4,3,1,1,"Internet"))," "))</f>
        <v xml:space="preserve"> </v>
      </c>
      <c r="Y102" s="395">
        <f ca="1">IF(N(U102)=0,9999,VLOOKUP(U102,Hraci!$A$1:$I$1500,8,0))</f>
        <v>9999</v>
      </c>
      <c r="Z102" s="458">
        <f ca="1">IF(N(U102)=0,0,VLOOKUP(U102,Hraci!$A$1:$I$1500,9,0))</f>
        <v>0</v>
      </c>
      <c r="AA102" s="455" t="str">
        <f t="shared" ca="1" si="41"/>
        <v/>
      </c>
      <c r="AB102" s="456" t="str">
        <f ca="1">IF(N(AA102)&gt;0,VLOOKUP(AA102,Hraci!$A$1:$I$1500,2,0)," ")</f>
        <v xml:space="preserve"> </v>
      </c>
      <c r="AC102" s="457" t="str">
        <f ca="1">IF(N(AA102)&gt;0,VLOOKUP(AA102,Hraci!$A$1:$I$1500,3,0)," ")</f>
        <v xml:space="preserve"> </v>
      </c>
      <c r="AD102" s="457" t="str">
        <f ca="1">IF(N(AA102)&gt;0,VLOOKUP(AA102,Hraci!$A$1:$I$1500,5,0)," ")</f>
        <v xml:space="preserve"> </v>
      </c>
      <c r="AE102" s="395">
        <f ca="1">IF(N(AA102)=0,9999,VLOOKUP(AA102,Hraci!$A$1:$I$1500,8,0))</f>
        <v>9999</v>
      </c>
      <c r="AF102" s="458">
        <f ca="1">IF(N(AA102)=0,0,VLOOKUP(AA102,Hraci!$A$1:$I$1500,9,0))</f>
        <v>0</v>
      </c>
      <c r="AG102" s="459"/>
      <c r="AH102" s="465">
        <f ca="1">IF(TYPE(VLOOKUP(H102,Nasazení!$A$3:$E$130,5,0))&lt;4,VLOOKUP(H102,Nasazení!$A$3:$E$130,5,0),0)</f>
        <v>0</v>
      </c>
      <c r="AI102" s="460" t="str">
        <f ca="1">IF(N($AH102)&gt;0,VLOOKUP($AH102,Body!$A$4:$F$259,5,0),"")</f>
        <v/>
      </c>
      <c r="AJ102" s="461" t="str">
        <f ca="1">IF(N($AH102)&gt;0,VLOOKUP($AH102,Body!$A$4:$F$259,6,0),"")</f>
        <v/>
      </c>
      <c r="AK102" s="460" t="str">
        <f ca="1">IF(N($AH102)&gt;0,VLOOKUP($AH102,Body!$A$4:$F$259,2,0),"")</f>
        <v/>
      </c>
      <c r="AL102" s="462" t="str">
        <f t="shared" ca="1" si="42"/>
        <v/>
      </c>
      <c r="AM102" s="463">
        <f t="shared" ca="1" si="43"/>
        <v>0</v>
      </c>
      <c r="AN102" s="395">
        <f ca="1">IF(OR(TYPE(I102)&gt;1,TYPE(MATCH(I102,I103:I$139,0))&gt;1),0,MATCH(I102,I103:I$139,0))+IF(OR(TYPE(I102)&gt;1,TYPE(MATCH(I102,O$11:O$139,0))&gt;1),0,MATCH(I102,O$11:O$139,0))+IF(OR(TYPE(I102)&gt;1,TYPE(MATCH(I102,U$11:U$139,0))&gt;1),0,MATCH(I102,U$11:U$139,0))+IF(OR(TYPE(I102)&gt;1,TYPE(MATCH(I102,AA$11:AA$139,0))&gt;1),0,MATCH(I102,AA$11:AA$139,0))</f>
        <v>0</v>
      </c>
      <c r="AO102" s="395">
        <f ca="1">IF(OR(TYPE(O102)&gt;1,TYPE(MATCH(O102,I$11:I$139,0))&gt;1),0,MATCH(O102,I$11:I$139,0))+IF(OR(TYPE(O102)&gt;1,TYPE(MATCH(O102,O103:O$139,0))&gt;1),0,MATCH(O102,O103:O$139,0))+IF(OR(TYPE(O102)&gt;1,TYPE(MATCH(O102,U$11:U$139,0))&gt;1),0,MATCH(O102,U$11:U$139,0))+IF(OR(TYPE(O102)&gt;1,TYPE(MATCH(O102,AA$11:AA$139,0))&gt;1),0,MATCH(O102,AA$11:AA$139,0))</f>
        <v>0</v>
      </c>
      <c r="AP102" s="395">
        <f ca="1">IF(OR(TYPE(U102)&gt;1,TYPE(MATCH(U102,I$11:I$139,0))&gt;1),0,MATCH(U102,I$11:I$139,0))+IF(OR(TYPE(U102)&gt;1,TYPE(MATCH(U102,O$11:O$139,0))&gt;1),0,MATCH(U102,O$11:O$139,0))+IF(OR(TYPE(U102)&gt;1,TYPE(MATCH(U102,U103:U$139,0))&gt;1),0,MATCH(U102,U103:U$139,0))+IF(OR(TYPE(U102)&gt;1,TYPE(MATCH(U102,AA$11:AA$139,0))&gt;1),0,MATCH(U102,AA$11:AA$139,0))</f>
        <v>0</v>
      </c>
      <c r="AQ102" s="395">
        <f ca="1">IF(OR(TYPE(AA102)&gt;1,TYPE(MATCH(AA102,I$11:I$139,0))&gt;1),0,MATCH(AA102,I$11:I$139,0))+IF(OR(TYPE(AA102)&gt;1,TYPE(MATCH(AA102,O$11:O$139,0))&gt;1),0,MATCH(AA102,O$11:O$139,0))+IF(OR(TYPE(AA102)&gt;1,TYPE(MATCH(AA102,U$11:U$139,0))&gt;1),0,MATCH(U102,U$11:U$139,0))+IF(OR(TYPE(AA102)&gt;1,TYPE(MATCH(AA102,AA103:AA$139,0))&gt;1),0,MATCH(AA102,AA103:AA$139,0))</f>
        <v>0</v>
      </c>
      <c r="AR102" s="395">
        <f t="shared" ca="1" si="44"/>
        <v>0</v>
      </c>
      <c r="BF102" s="395">
        <f t="shared" si="45"/>
        <v>92</v>
      </c>
    </row>
    <row r="103" spans="1:58" ht="12.9">
      <c r="A103" s="387">
        <f t="shared" ca="1" si="30"/>
        <v>0</v>
      </c>
      <c r="B103" s="387">
        <f t="shared" ca="1" si="31"/>
        <v>0</v>
      </c>
      <c r="C103" s="387">
        <f t="shared" ca="1" si="32"/>
        <v>0</v>
      </c>
      <c r="D103" s="387">
        <f t="shared" ca="1" si="33"/>
        <v>99999</v>
      </c>
      <c r="E103" s="387">
        <f t="shared" ca="1" si="34"/>
        <v>9999</v>
      </c>
      <c r="F103" s="417" t="str">
        <f t="shared" ca="1" si="35"/>
        <v>00000000000000000000209275</v>
      </c>
      <c r="G103" s="453" t="b">
        <f t="shared" ca="1" si="36"/>
        <v>1</v>
      </c>
      <c r="H103" s="454">
        <f t="shared" si="37"/>
        <v>93</v>
      </c>
      <c r="I103" s="455" t="str">
        <f t="shared" ca="1" si="38"/>
        <v/>
      </c>
      <c r="J103" s="456" t="str">
        <f ca="1">IF(N(I103)&gt;0,VLOOKUP(I103,Hraci!$A$1:$I$1500,2,0),IF(TYPE(INDIRECT(ADDRESS(ROW() + $A$9-9 + (ROW()-11)*4,2,1,1,"Internet")))&gt;1,INDIRECT(ADDRESS(ROW() + $A$9-9 + (ROW()-11)*4,2,1,1,"Internet"))," "))</f>
        <v xml:space="preserve"> </v>
      </c>
      <c r="K103" s="457" t="str">
        <f ca="1">IF(N(I103)&gt;0,VLOOKUP(I103,Hraci!$A$1:$I$1500,3,0)," ")</f>
        <v xml:space="preserve"> </v>
      </c>
      <c r="L103" s="457" t="str">
        <f ca="1">IF(N(I103)&gt;0,VLOOKUP(I103,Hraci!$A$1:$I$1500,5,0),IF(TYPE(INDIRECT(ADDRESS(ROW() + $A$9-9 + (ROW()-11)*4,3,1,1,"Internet")))&gt;1,INDIRECT(ADDRESS(ROW() + $A$9-9 + (ROW()-11)*4,3,1,1,"Internet"))," "))</f>
        <v xml:space="preserve"> </v>
      </c>
      <c r="M103" s="395">
        <f ca="1">IF(N(I103)=0,9999,VLOOKUP(I103,Hraci!$A$1:$I$1500,8,0))</f>
        <v>9999</v>
      </c>
      <c r="N103" s="458">
        <f ca="1">IF(N(I103)=0,0,VLOOKUP(I103,Hraci!$A$1:$I$1500,9,0))</f>
        <v>0</v>
      </c>
      <c r="O103" s="455" t="str">
        <f t="shared" ca="1" si="39"/>
        <v/>
      </c>
      <c r="P103" s="456" t="str">
        <f ca="1">IF(N(O103)&gt;0,VLOOKUP(O103,Hraci!$A$1:$I$1500,2,0),IF(TYPE(INDIRECT(ADDRESS(ROW() + $A$9-8 + (ROW()-11)*4,2,1,1,"Internet")))&gt;1,INDIRECT(ADDRESS(ROW() + $A$9-8 + (ROW()-11)*4,2,1,1,"Internet"))," "))</f>
        <v xml:space="preserve"> </v>
      </c>
      <c r="Q103" s="457" t="str">
        <f ca="1">IF(N(O103)&gt;0,VLOOKUP(O103,Hraci!$A$1:$I$1500,3,0)," ")</f>
        <v xml:space="preserve"> </v>
      </c>
      <c r="R103" s="457" t="str">
        <f ca="1">IF(N(O103)&gt;0,VLOOKUP(O103,Hraci!$A$1:$I$1500,5,0),IF(TYPE(INDIRECT(ADDRESS(ROW() + $A$9-8 + (ROW()-11)*4,3,1,1,"Internet")))&gt;1,INDIRECT(ADDRESS(ROW() + $A$9-8 + (ROW()-11)*4,3,1,1,"Internet"))," "))</f>
        <v xml:space="preserve"> </v>
      </c>
      <c r="S103" s="395">
        <f ca="1">IF(N(O103)=0,9999,VLOOKUP(O103,Hraci!$A$1:$I$1500,8,0))</f>
        <v>9999</v>
      </c>
      <c r="T103" s="458">
        <f ca="1">IF(N(O103)=0,0,VLOOKUP(O103,Hraci!$A$1:$I$1500,9,0))</f>
        <v>0</v>
      </c>
      <c r="U103" s="455" t="str">
        <f t="shared" ca="1" si="40"/>
        <v/>
      </c>
      <c r="V103" s="456" t="str">
        <f ca="1">IF(N(U103)&gt;0,VLOOKUP(U103,Hraci!$A$1:$I$1500,2,0),IF(TYPE(INDIRECT(ADDRESS(ROW() + $A$9-7 + (ROW()-11)*4,2,1,1,"Internet")))&gt;1,INDIRECT(ADDRESS(ROW() + $A$9-7 + (ROW()-11)*4,2,1,1,"Internet"))," "))</f>
        <v xml:space="preserve"> </v>
      </c>
      <c r="W103" s="457" t="str">
        <f ca="1">IF(N(U103)&gt;0,VLOOKUP(U103,Hraci!$A$1:$I$1500,3,0)," ")</f>
        <v xml:space="preserve"> </v>
      </c>
      <c r="X103" s="457" t="str">
        <f ca="1">IF(N(U103)&gt;0,VLOOKUP(U103,Hraci!$A$1:$I$1500,5,0),IF(TYPE(INDIRECT(ADDRESS(ROW() + $A$9-7 + (ROW()-11)*4,3,1,1,"Internet")))&gt;1,INDIRECT(ADDRESS(ROW() + $A$9-7 + (ROW()-11)*4,3,1,1,"Internet"))," "))</f>
        <v xml:space="preserve"> </v>
      </c>
      <c r="Y103" s="395">
        <f ca="1">IF(N(U103)=0,9999,VLOOKUP(U103,Hraci!$A$1:$I$1500,8,0))</f>
        <v>9999</v>
      </c>
      <c r="Z103" s="458">
        <f ca="1">IF(N(U103)=0,0,VLOOKUP(U103,Hraci!$A$1:$I$1500,9,0))</f>
        <v>0</v>
      </c>
      <c r="AA103" s="455" t="str">
        <f t="shared" ca="1" si="41"/>
        <v/>
      </c>
      <c r="AB103" s="456" t="str">
        <f ca="1">IF(N(AA103)&gt;0,VLOOKUP(AA103,Hraci!$A$1:$I$1500,2,0)," ")</f>
        <v xml:space="preserve"> </v>
      </c>
      <c r="AC103" s="457" t="str">
        <f ca="1">IF(N(AA103)&gt;0,VLOOKUP(AA103,Hraci!$A$1:$I$1500,3,0)," ")</f>
        <v xml:space="preserve"> </v>
      </c>
      <c r="AD103" s="457" t="str">
        <f ca="1">IF(N(AA103)&gt;0,VLOOKUP(AA103,Hraci!$A$1:$I$1500,5,0)," ")</f>
        <v xml:space="preserve"> </v>
      </c>
      <c r="AE103" s="395">
        <f ca="1">IF(N(AA103)=0,9999,VLOOKUP(AA103,Hraci!$A$1:$I$1500,8,0))</f>
        <v>9999</v>
      </c>
      <c r="AF103" s="458">
        <f ca="1">IF(N(AA103)=0,0,VLOOKUP(AA103,Hraci!$A$1:$I$1500,9,0))</f>
        <v>0</v>
      </c>
      <c r="AG103" s="459"/>
      <c r="AH103" s="465">
        <f ca="1">IF(TYPE(VLOOKUP(H103,Nasazení!$A$3:$E$130,5,0))&lt;4,VLOOKUP(H103,Nasazení!$A$3:$E$130,5,0),0)</f>
        <v>0</v>
      </c>
      <c r="AI103" s="460" t="str">
        <f ca="1">IF(N($AH103)&gt;0,VLOOKUP($AH103,Body!$A$4:$F$259,5,0),"")</f>
        <v/>
      </c>
      <c r="AJ103" s="461" t="str">
        <f ca="1">IF(N($AH103)&gt;0,VLOOKUP($AH103,Body!$A$4:$F$259,6,0),"")</f>
        <v/>
      </c>
      <c r="AK103" s="460" t="str">
        <f ca="1">IF(N($AH103)&gt;0,VLOOKUP($AH103,Body!$A$4:$F$259,2,0),"")</f>
        <v/>
      </c>
      <c r="AL103" s="462" t="str">
        <f t="shared" ca="1" si="42"/>
        <v/>
      </c>
      <c r="AM103" s="463">
        <f t="shared" ca="1" si="43"/>
        <v>0</v>
      </c>
      <c r="AN103" s="395">
        <f ca="1">IF(OR(TYPE(I103)&gt;1,TYPE(MATCH(I103,I104:I$139,0))&gt;1),0,MATCH(I103,I104:I$139,0))+IF(OR(TYPE(I103)&gt;1,TYPE(MATCH(I103,O$11:O$139,0))&gt;1),0,MATCH(I103,O$11:O$139,0))+IF(OR(TYPE(I103)&gt;1,TYPE(MATCH(I103,U$11:U$139,0))&gt;1),0,MATCH(I103,U$11:U$139,0))+IF(OR(TYPE(I103)&gt;1,TYPE(MATCH(I103,AA$11:AA$139,0))&gt;1),0,MATCH(I103,AA$11:AA$139,0))</f>
        <v>0</v>
      </c>
      <c r="AO103" s="395">
        <f ca="1">IF(OR(TYPE(O103)&gt;1,TYPE(MATCH(O103,I$11:I$139,0))&gt;1),0,MATCH(O103,I$11:I$139,0))+IF(OR(TYPE(O103)&gt;1,TYPE(MATCH(O103,O104:O$139,0))&gt;1),0,MATCH(O103,O104:O$139,0))+IF(OR(TYPE(O103)&gt;1,TYPE(MATCH(O103,U$11:U$139,0))&gt;1),0,MATCH(O103,U$11:U$139,0))+IF(OR(TYPE(O103)&gt;1,TYPE(MATCH(O103,AA$11:AA$139,0))&gt;1),0,MATCH(O103,AA$11:AA$139,0))</f>
        <v>0</v>
      </c>
      <c r="AP103" s="395">
        <f ca="1">IF(OR(TYPE(U103)&gt;1,TYPE(MATCH(U103,I$11:I$139,0))&gt;1),0,MATCH(U103,I$11:I$139,0))+IF(OR(TYPE(U103)&gt;1,TYPE(MATCH(U103,O$11:O$139,0))&gt;1),0,MATCH(U103,O$11:O$139,0))+IF(OR(TYPE(U103)&gt;1,TYPE(MATCH(U103,U104:U$139,0))&gt;1),0,MATCH(U103,U104:U$139,0))+IF(OR(TYPE(U103)&gt;1,TYPE(MATCH(U103,AA$11:AA$139,0))&gt;1),0,MATCH(U103,AA$11:AA$139,0))</f>
        <v>0</v>
      </c>
      <c r="AQ103" s="395">
        <f ca="1">IF(OR(TYPE(AA103)&gt;1,TYPE(MATCH(AA103,I$11:I$139,0))&gt;1),0,MATCH(AA103,I$11:I$139,0))+IF(OR(TYPE(AA103)&gt;1,TYPE(MATCH(AA103,O$11:O$139,0))&gt;1),0,MATCH(AA103,O$11:O$139,0))+IF(OR(TYPE(AA103)&gt;1,TYPE(MATCH(AA103,U$11:U$139,0))&gt;1),0,MATCH(U103,U$11:U$139,0))+IF(OR(TYPE(AA103)&gt;1,TYPE(MATCH(AA103,AA104:AA$139,0))&gt;1),0,MATCH(AA103,AA104:AA$139,0))</f>
        <v>0</v>
      </c>
      <c r="AR103" s="395">
        <f t="shared" ca="1" si="44"/>
        <v>0</v>
      </c>
      <c r="BF103" s="395">
        <f t="shared" si="45"/>
        <v>93</v>
      </c>
    </row>
    <row r="104" spans="1:58" ht="12.9">
      <c r="A104" s="387">
        <f t="shared" ca="1" si="30"/>
        <v>0</v>
      </c>
      <c r="B104" s="387">
        <f t="shared" ca="1" si="31"/>
        <v>0</v>
      </c>
      <c r="C104" s="387">
        <f t="shared" ca="1" si="32"/>
        <v>0</v>
      </c>
      <c r="D104" s="387">
        <f t="shared" ca="1" si="33"/>
        <v>99999</v>
      </c>
      <c r="E104" s="387">
        <f t="shared" ca="1" si="34"/>
        <v>9999</v>
      </c>
      <c r="F104" s="417" t="str">
        <f t="shared" ca="1" si="35"/>
        <v>00000000000000000000976641</v>
      </c>
      <c r="G104" s="453" t="b">
        <f t="shared" ca="1" si="36"/>
        <v>1</v>
      </c>
      <c r="H104" s="454">
        <f t="shared" si="37"/>
        <v>94</v>
      </c>
      <c r="I104" s="455" t="str">
        <f t="shared" ca="1" si="38"/>
        <v/>
      </c>
      <c r="J104" s="456" t="str">
        <f ca="1">IF(N(I104)&gt;0,VLOOKUP(I104,Hraci!$A$1:$I$1500,2,0),IF(TYPE(INDIRECT(ADDRESS(ROW() + $A$9-9 + (ROW()-11)*4,2,1,1,"Internet")))&gt;1,INDIRECT(ADDRESS(ROW() + $A$9-9 + (ROW()-11)*4,2,1,1,"Internet"))," "))</f>
        <v xml:space="preserve"> </v>
      </c>
      <c r="K104" s="457" t="str">
        <f ca="1">IF(N(I104)&gt;0,VLOOKUP(I104,Hraci!$A$1:$I$1500,3,0)," ")</f>
        <v xml:space="preserve"> </v>
      </c>
      <c r="L104" s="457" t="str">
        <f ca="1">IF(N(I104)&gt;0,VLOOKUP(I104,Hraci!$A$1:$I$1500,5,0),IF(TYPE(INDIRECT(ADDRESS(ROW() + $A$9-9 + (ROW()-11)*4,3,1,1,"Internet")))&gt;1,INDIRECT(ADDRESS(ROW() + $A$9-9 + (ROW()-11)*4,3,1,1,"Internet"))," "))</f>
        <v xml:space="preserve"> </v>
      </c>
      <c r="M104" s="395">
        <f ca="1">IF(N(I104)=0,9999,VLOOKUP(I104,Hraci!$A$1:$I$1500,8,0))</f>
        <v>9999</v>
      </c>
      <c r="N104" s="458">
        <f ca="1">IF(N(I104)=0,0,VLOOKUP(I104,Hraci!$A$1:$I$1500,9,0))</f>
        <v>0</v>
      </c>
      <c r="O104" s="455" t="str">
        <f t="shared" ca="1" si="39"/>
        <v/>
      </c>
      <c r="P104" s="456" t="str">
        <f ca="1">IF(N(O104)&gt;0,VLOOKUP(O104,Hraci!$A$1:$I$1500,2,0),IF(TYPE(INDIRECT(ADDRESS(ROW() + $A$9-8 + (ROW()-11)*4,2,1,1,"Internet")))&gt;1,INDIRECT(ADDRESS(ROW() + $A$9-8 + (ROW()-11)*4,2,1,1,"Internet"))," "))</f>
        <v xml:space="preserve"> </v>
      </c>
      <c r="Q104" s="457" t="str">
        <f ca="1">IF(N(O104)&gt;0,VLOOKUP(O104,Hraci!$A$1:$I$1500,3,0)," ")</f>
        <v xml:space="preserve"> </v>
      </c>
      <c r="R104" s="457" t="str">
        <f ca="1">IF(N(O104)&gt;0,VLOOKUP(O104,Hraci!$A$1:$I$1500,5,0),IF(TYPE(INDIRECT(ADDRESS(ROW() + $A$9-8 + (ROW()-11)*4,3,1,1,"Internet")))&gt;1,INDIRECT(ADDRESS(ROW() + $A$9-8 + (ROW()-11)*4,3,1,1,"Internet"))," "))</f>
        <v xml:space="preserve"> </v>
      </c>
      <c r="S104" s="395">
        <f ca="1">IF(N(O104)=0,9999,VLOOKUP(O104,Hraci!$A$1:$I$1500,8,0))</f>
        <v>9999</v>
      </c>
      <c r="T104" s="458">
        <f ca="1">IF(N(O104)=0,0,VLOOKUP(O104,Hraci!$A$1:$I$1500,9,0))</f>
        <v>0</v>
      </c>
      <c r="U104" s="455" t="str">
        <f t="shared" ca="1" si="40"/>
        <v/>
      </c>
      <c r="V104" s="456" t="str">
        <f ca="1">IF(N(U104)&gt;0,VLOOKUP(U104,Hraci!$A$1:$I$1500,2,0),IF(TYPE(INDIRECT(ADDRESS(ROW() + $A$9-7 + (ROW()-11)*4,2,1,1,"Internet")))&gt;1,INDIRECT(ADDRESS(ROW() + $A$9-7 + (ROW()-11)*4,2,1,1,"Internet"))," "))</f>
        <v xml:space="preserve"> </v>
      </c>
      <c r="W104" s="457" t="str">
        <f ca="1">IF(N(U104)&gt;0,VLOOKUP(U104,Hraci!$A$1:$I$1500,3,0)," ")</f>
        <v xml:space="preserve"> </v>
      </c>
      <c r="X104" s="457" t="str">
        <f ca="1">IF(N(U104)&gt;0,VLOOKUP(U104,Hraci!$A$1:$I$1500,5,0),IF(TYPE(INDIRECT(ADDRESS(ROW() + $A$9-7 + (ROW()-11)*4,3,1,1,"Internet")))&gt;1,INDIRECT(ADDRESS(ROW() + $A$9-7 + (ROW()-11)*4,3,1,1,"Internet"))," "))</f>
        <v xml:space="preserve"> </v>
      </c>
      <c r="Y104" s="395">
        <f ca="1">IF(N(U104)=0,9999,VLOOKUP(U104,Hraci!$A$1:$I$1500,8,0))</f>
        <v>9999</v>
      </c>
      <c r="Z104" s="458">
        <f ca="1">IF(N(U104)=0,0,VLOOKUP(U104,Hraci!$A$1:$I$1500,9,0))</f>
        <v>0</v>
      </c>
      <c r="AA104" s="455" t="str">
        <f t="shared" ca="1" si="41"/>
        <v/>
      </c>
      <c r="AB104" s="456" t="str">
        <f ca="1">IF(N(AA104)&gt;0,VLOOKUP(AA104,Hraci!$A$1:$I$1500,2,0)," ")</f>
        <v xml:space="preserve"> </v>
      </c>
      <c r="AC104" s="457" t="str">
        <f ca="1">IF(N(AA104)&gt;0,VLOOKUP(AA104,Hraci!$A$1:$I$1500,3,0)," ")</f>
        <v xml:space="preserve"> </v>
      </c>
      <c r="AD104" s="457" t="str">
        <f ca="1">IF(N(AA104)&gt;0,VLOOKUP(AA104,Hraci!$A$1:$I$1500,5,0)," ")</f>
        <v xml:space="preserve"> </v>
      </c>
      <c r="AE104" s="395">
        <f ca="1">IF(N(AA104)=0,9999,VLOOKUP(AA104,Hraci!$A$1:$I$1500,8,0))</f>
        <v>9999</v>
      </c>
      <c r="AF104" s="458">
        <f ca="1">IF(N(AA104)=0,0,VLOOKUP(AA104,Hraci!$A$1:$I$1500,9,0))</f>
        <v>0</v>
      </c>
      <c r="AG104" s="459"/>
      <c r="AH104" s="465">
        <f ca="1">IF(TYPE(VLOOKUP(H104,Nasazení!$A$3:$E$130,5,0))&lt;4,VLOOKUP(H104,Nasazení!$A$3:$E$130,5,0),0)</f>
        <v>0</v>
      </c>
      <c r="AI104" s="460" t="str">
        <f ca="1">IF(N($AH104)&gt;0,VLOOKUP($AH104,Body!$A$4:$F$259,5,0),"")</f>
        <v/>
      </c>
      <c r="AJ104" s="461" t="str">
        <f ca="1">IF(N($AH104)&gt;0,VLOOKUP($AH104,Body!$A$4:$F$259,6,0),"")</f>
        <v/>
      </c>
      <c r="AK104" s="460" t="str">
        <f ca="1">IF(N($AH104)&gt;0,VLOOKUP($AH104,Body!$A$4:$F$259,2,0),"")</f>
        <v/>
      </c>
      <c r="AL104" s="462" t="str">
        <f t="shared" ca="1" si="42"/>
        <v/>
      </c>
      <c r="AM104" s="463">
        <f t="shared" ca="1" si="43"/>
        <v>0</v>
      </c>
      <c r="AN104" s="395">
        <f ca="1">IF(OR(TYPE(I104)&gt;1,TYPE(MATCH(I104,I105:I$139,0))&gt;1),0,MATCH(I104,I105:I$139,0))+IF(OR(TYPE(I104)&gt;1,TYPE(MATCH(I104,O$11:O$139,0))&gt;1),0,MATCH(I104,O$11:O$139,0))+IF(OR(TYPE(I104)&gt;1,TYPE(MATCH(I104,U$11:U$139,0))&gt;1),0,MATCH(I104,U$11:U$139,0))+IF(OR(TYPE(I104)&gt;1,TYPE(MATCH(I104,AA$11:AA$139,0))&gt;1),0,MATCH(I104,AA$11:AA$139,0))</f>
        <v>0</v>
      </c>
      <c r="AO104" s="395">
        <f ca="1">IF(OR(TYPE(O104)&gt;1,TYPE(MATCH(O104,I$11:I$139,0))&gt;1),0,MATCH(O104,I$11:I$139,0))+IF(OR(TYPE(O104)&gt;1,TYPE(MATCH(O104,O105:O$139,0))&gt;1),0,MATCH(O104,O105:O$139,0))+IF(OR(TYPE(O104)&gt;1,TYPE(MATCH(O104,U$11:U$139,0))&gt;1),0,MATCH(O104,U$11:U$139,0))+IF(OR(TYPE(O104)&gt;1,TYPE(MATCH(O104,AA$11:AA$139,0))&gt;1),0,MATCH(O104,AA$11:AA$139,0))</f>
        <v>0</v>
      </c>
      <c r="AP104" s="395">
        <f ca="1">IF(OR(TYPE(U104)&gt;1,TYPE(MATCH(U104,I$11:I$139,0))&gt;1),0,MATCH(U104,I$11:I$139,0))+IF(OR(TYPE(U104)&gt;1,TYPE(MATCH(U104,O$11:O$139,0))&gt;1),0,MATCH(U104,O$11:O$139,0))+IF(OR(TYPE(U104)&gt;1,TYPE(MATCH(U104,U105:U$139,0))&gt;1),0,MATCH(U104,U105:U$139,0))+IF(OR(TYPE(U104)&gt;1,TYPE(MATCH(U104,AA$11:AA$139,0))&gt;1),0,MATCH(U104,AA$11:AA$139,0))</f>
        <v>0</v>
      </c>
      <c r="AQ104" s="395">
        <f ca="1">IF(OR(TYPE(AA104)&gt;1,TYPE(MATCH(AA104,I$11:I$139,0))&gt;1),0,MATCH(AA104,I$11:I$139,0))+IF(OR(TYPE(AA104)&gt;1,TYPE(MATCH(AA104,O$11:O$139,0))&gt;1),0,MATCH(AA104,O$11:O$139,0))+IF(OR(TYPE(AA104)&gt;1,TYPE(MATCH(AA104,U$11:U$139,0))&gt;1),0,MATCH(U104,U$11:U$139,0))+IF(OR(TYPE(AA104)&gt;1,TYPE(MATCH(AA104,AA105:AA$139,0))&gt;1),0,MATCH(AA104,AA105:AA$139,0))</f>
        <v>0</v>
      </c>
      <c r="AR104" s="395">
        <f t="shared" ca="1" si="44"/>
        <v>0</v>
      </c>
      <c r="BF104" s="395">
        <f t="shared" si="45"/>
        <v>94</v>
      </c>
    </row>
    <row r="105" spans="1:58" ht="12.9">
      <c r="A105" s="387">
        <f t="shared" ca="1" si="30"/>
        <v>0</v>
      </c>
      <c r="B105" s="387">
        <f t="shared" ca="1" si="31"/>
        <v>0</v>
      </c>
      <c r="C105" s="387">
        <f t="shared" ca="1" si="32"/>
        <v>0</v>
      </c>
      <c r="D105" s="387">
        <f t="shared" ca="1" si="33"/>
        <v>99999</v>
      </c>
      <c r="E105" s="387">
        <f t="shared" ca="1" si="34"/>
        <v>9999</v>
      </c>
      <c r="F105" s="417" t="str">
        <f t="shared" ca="1" si="35"/>
        <v>00000000000000000000701416</v>
      </c>
      <c r="G105" s="453" t="b">
        <f t="shared" ca="1" si="36"/>
        <v>1</v>
      </c>
      <c r="H105" s="454">
        <f t="shared" si="37"/>
        <v>95</v>
      </c>
      <c r="I105" s="455" t="str">
        <f t="shared" ca="1" si="38"/>
        <v/>
      </c>
      <c r="J105" s="456" t="str">
        <f ca="1">IF(N(I105)&gt;0,VLOOKUP(I105,Hraci!$A$1:$I$1500,2,0),IF(TYPE(INDIRECT(ADDRESS(ROW() + $A$9-9 + (ROW()-11)*4,2,1,1,"Internet")))&gt;1,INDIRECT(ADDRESS(ROW() + $A$9-9 + (ROW()-11)*4,2,1,1,"Internet"))," "))</f>
        <v xml:space="preserve"> </v>
      </c>
      <c r="K105" s="457" t="str">
        <f ca="1">IF(N(I105)&gt;0,VLOOKUP(I105,Hraci!$A$1:$I$1500,3,0)," ")</f>
        <v xml:space="preserve"> </v>
      </c>
      <c r="L105" s="457" t="str">
        <f ca="1">IF(N(I105)&gt;0,VLOOKUP(I105,Hraci!$A$1:$I$1500,5,0),IF(TYPE(INDIRECT(ADDRESS(ROW() + $A$9-9 + (ROW()-11)*4,3,1,1,"Internet")))&gt;1,INDIRECT(ADDRESS(ROW() + $A$9-9 + (ROW()-11)*4,3,1,1,"Internet"))," "))</f>
        <v xml:space="preserve"> </v>
      </c>
      <c r="M105" s="395">
        <f ca="1">IF(N(I105)=0,9999,VLOOKUP(I105,Hraci!$A$1:$I$1500,8,0))</f>
        <v>9999</v>
      </c>
      <c r="N105" s="458">
        <f ca="1">IF(N(I105)=0,0,VLOOKUP(I105,Hraci!$A$1:$I$1500,9,0))</f>
        <v>0</v>
      </c>
      <c r="O105" s="455" t="str">
        <f t="shared" ca="1" si="39"/>
        <v/>
      </c>
      <c r="P105" s="456" t="str">
        <f ca="1">IF(N(O105)&gt;0,VLOOKUP(O105,Hraci!$A$1:$I$1500,2,0),IF(TYPE(INDIRECT(ADDRESS(ROW() + $A$9-8 + (ROW()-11)*4,2,1,1,"Internet")))&gt;1,INDIRECT(ADDRESS(ROW() + $A$9-8 + (ROW()-11)*4,2,1,1,"Internet"))," "))</f>
        <v xml:space="preserve"> </v>
      </c>
      <c r="Q105" s="457" t="str">
        <f ca="1">IF(N(O105)&gt;0,VLOOKUP(O105,Hraci!$A$1:$I$1500,3,0)," ")</f>
        <v xml:space="preserve"> </v>
      </c>
      <c r="R105" s="457" t="str">
        <f ca="1">IF(N(O105)&gt;0,VLOOKUP(O105,Hraci!$A$1:$I$1500,5,0),IF(TYPE(INDIRECT(ADDRESS(ROW() + $A$9-8 + (ROW()-11)*4,3,1,1,"Internet")))&gt;1,INDIRECT(ADDRESS(ROW() + $A$9-8 + (ROW()-11)*4,3,1,1,"Internet"))," "))</f>
        <v xml:space="preserve"> </v>
      </c>
      <c r="S105" s="395">
        <f ca="1">IF(N(O105)=0,9999,VLOOKUP(O105,Hraci!$A$1:$I$1500,8,0))</f>
        <v>9999</v>
      </c>
      <c r="T105" s="458">
        <f ca="1">IF(N(O105)=0,0,VLOOKUP(O105,Hraci!$A$1:$I$1500,9,0))</f>
        <v>0</v>
      </c>
      <c r="U105" s="455" t="str">
        <f t="shared" ca="1" si="40"/>
        <v/>
      </c>
      <c r="V105" s="456" t="str">
        <f ca="1">IF(N(U105)&gt;0,VLOOKUP(U105,Hraci!$A$1:$I$1500,2,0),IF(TYPE(INDIRECT(ADDRESS(ROW() + $A$9-7 + (ROW()-11)*4,2,1,1,"Internet")))&gt;1,INDIRECT(ADDRESS(ROW() + $A$9-7 + (ROW()-11)*4,2,1,1,"Internet"))," "))</f>
        <v xml:space="preserve"> </v>
      </c>
      <c r="W105" s="457" t="str">
        <f ca="1">IF(N(U105)&gt;0,VLOOKUP(U105,Hraci!$A$1:$I$1500,3,0)," ")</f>
        <v xml:space="preserve"> </v>
      </c>
      <c r="X105" s="457" t="str">
        <f ca="1">IF(N(U105)&gt;0,VLOOKUP(U105,Hraci!$A$1:$I$1500,5,0),IF(TYPE(INDIRECT(ADDRESS(ROW() + $A$9-7 + (ROW()-11)*4,3,1,1,"Internet")))&gt;1,INDIRECT(ADDRESS(ROW() + $A$9-7 + (ROW()-11)*4,3,1,1,"Internet"))," "))</f>
        <v xml:space="preserve"> </v>
      </c>
      <c r="Y105" s="395">
        <f ca="1">IF(N(U105)=0,9999,VLOOKUP(U105,Hraci!$A$1:$I$1500,8,0))</f>
        <v>9999</v>
      </c>
      <c r="Z105" s="458">
        <f ca="1">IF(N(U105)=0,0,VLOOKUP(U105,Hraci!$A$1:$I$1500,9,0))</f>
        <v>0</v>
      </c>
      <c r="AA105" s="455" t="str">
        <f t="shared" ca="1" si="41"/>
        <v/>
      </c>
      <c r="AB105" s="456" t="str">
        <f ca="1">IF(N(AA105)&gt;0,VLOOKUP(AA105,Hraci!$A$1:$I$1500,2,0)," ")</f>
        <v xml:space="preserve"> </v>
      </c>
      <c r="AC105" s="457" t="str">
        <f ca="1">IF(N(AA105)&gt;0,VLOOKUP(AA105,Hraci!$A$1:$I$1500,3,0)," ")</f>
        <v xml:space="preserve"> </v>
      </c>
      <c r="AD105" s="457" t="str">
        <f ca="1">IF(N(AA105)&gt;0,VLOOKUP(AA105,Hraci!$A$1:$I$1500,5,0)," ")</f>
        <v xml:space="preserve"> </v>
      </c>
      <c r="AE105" s="395">
        <f ca="1">IF(N(AA105)=0,9999,VLOOKUP(AA105,Hraci!$A$1:$I$1500,8,0))</f>
        <v>9999</v>
      </c>
      <c r="AF105" s="458">
        <f ca="1">IF(N(AA105)=0,0,VLOOKUP(AA105,Hraci!$A$1:$I$1500,9,0))</f>
        <v>0</v>
      </c>
      <c r="AG105" s="459"/>
      <c r="AH105" s="465">
        <f ca="1">IF(TYPE(VLOOKUP(H105,Nasazení!$A$3:$E$130,5,0))&lt;4,VLOOKUP(H105,Nasazení!$A$3:$E$130,5,0),0)</f>
        <v>0</v>
      </c>
      <c r="AI105" s="460" t="str">
        <f ca="1">IF(N($AH105)&gt;0,VLOOKUP($AH105,Body!$A$4:$F$259,5,0),"")</f>
        <v/>
      </c>
      <c r="AJ105" s="461" t="str">
        <f ca="1">IF(N($AH105)&gt;0,VLOOKUP($AH105,Body!$A$4:$F$259,6,0),"")</f>
        <v/>
      </c>
      <c r="AK105" s="460" t="str">
        <f ca="1">IF(N($AH105)&gt;0,VLOOKUP($AH105,Body!$A$4:$F$259,2,0),"")</f>
        <v/>
      </c>
      <c r="AL105" s="462" t="str">
        <f t="shared" ca="1" si="42"/>
        <v/>
      </c>
      <c r="AM105" s="463">
        <f t="shared" ca="1" si="43"/>
        <v>0</v>
      </c>
      <c r="AN105" s="395">
        <f ca="1">IF(OR(TYPE(I105)&gt;1,TYPE(MATCH(I105,I106:I$139,0))&gt;1),0,MATCH(I105,I106:I$139,0))+IF(OR(TYPE(I105)&gt;1,TYPE(MATCH(I105,O$11:O$139,0))&gt;1),0,MATCH(I105,O$11:O$139,0))+IF(OR(TYPE(I105)&gt;1,TYPE(MATCH(I105,U$11:U$139,0))&gt;1),0,MATCH(I105,U$11:U$139,0))+IF(OR(TYPE(I105)&gt;1,TYPE(MATCH(I105,AA$11:AA$139,0))&gt;1),0,MATCH(I105,AA$11:AA$139,0))</f>
        <v>0</v>
      </c>
      <c r="AO105" s="395">
        <f ca="1">IF(OR(TYPE(O105)&gt;1,TYPE(MATCH(O105,I$11:I$139,0))&gt;1),0,MATCH(O105,I$11:I$139,0))+IF(OR(TYPE(O105)&gt;1,TYPE(MATCH(O105,O106:O$139,0))&gt;1),0,MATCH(O105,O106:O$139,0))+IF(OR(TYPE(O105)&gt;1,TYPE(MATCH(O105,U$11:U$139,0))&gt;1),0,MATCH(O105,U$11:U$139,0))+IF(OR(TYPE(O105)&gt;1,TYPE(MATCH(O105,AA$11:AA$139,0))&gt;1),0,MATCH(O105,AA$11:AA$139,0))</f>
        <v>0</v>
      </c>
      <c r="AP105" s="395">
        <f ca="1">IF(OR(TYPE(U105)&gt;1,TYPE(MATCH(U105,I$11:I$139,0))&gt;1),0,MATCH(U105,I$11:I$139,0))+IF(OR(TYPE(U105)&gt;1,TYPE(MATCH(U105,O$11:O$139,0))&gt;1),0,MATCH(U105,O$11:O$139,0))+IF(OR(TYPE(U105)&gt;1,TYPE(MATCH(U105,U106:U$139,0))&gt;1),0,MATCH(U105,U106:U$139,0))+IF(OR(TYPE(U105)&gt;1,TYPE(MATCH(U105,AA$11:AA$139,0))&gt;1),0,MATCH(U105,AA$11:AA$139,0))</f>
        <v>0</v>
      </c>
      <c r="AQ105" s="395">
        <f ca="1">IF(OR(TYPE(AA105)&gt;1,TYPE(MATCH(AA105,I$11:I$139,0))&gt;1),0,MATCH(AA105,I$11:I$139,0))+IF(OR(TYPE(AA105)&gt;1,TYPE(MATCH(AA105,O$11:O$139,0))&gt;1),0,MATCH(AA105,O$11:O$139,0))+IF(OR(TYPE(AA105)&gt;1,TYPE(MATCH(AA105,U$11:U$139,0))&gt;1),0,MATCH(U105,U$11:U$139,0))+IF(OR(TYPE(AA105)&gt;1,TYPE(MATCH(AA105,AA106:AA$139,0))&gt;1),0,MATCH(AA105,AA106:AA$139,0))</f>
        <v>0</v>
      </c>
      <c r="AR105" s="395">
        <f t="shared" ca="1" si="44"/>
        <v>0</v>
      </c>
      <c r="BF105" s="395">
        <f t="shared" si="45"/>
        <v>95</v>
      </c>
    </row>
    <row r="106" spans="1:58" ht="12.9">
      <c r="A106" s="387">
        <f t="shared" ca="1" si="30"/>
        <v>0</v>
      </c>
      <c r="B106" s="387">
        <f t="shared" ca="1" si="31"/>
        <v>0</v>
      </c>
      <c r="C106" s="387">
        <f t="shared" ca="1" si="32"/>
        <v>0</v>
      </c>
      <c r="D106" s="387">
        <f t="shared" ca="1" si="33"/>
        <v>99999</v>
      </c>
      <c r="E106" s="387">
        <f t="shared" ca="1" si="34"/>
        <v>9999</v>
      </c>
      <c r="F106" s="417" t="str">
        <f t="shared" ca="1" si="35"/>
        <v>00000000000000000000072898</v>
      </c>
      <c r="G106" s="453" t="b">
        <f t="shared" ca="1" si="36"/>
        <v>1</v>
      </c>
      <c r="H106" s="454">
        <f t="shared" si="37"/>
        <v>96</v>
      </c>
      <c r="I106" s="455" t="str">
        <f t="shared" ca="1" si="38"/>
        <v/>
      </c>
      <c r="J106" s="456" t="str">
        <f ca="1">IF(N(I106)&gt;0,VLOOKUP(I106,Hraci!$A$1:$I$1500,2,0),IF(TYPE(INDIRECT(ADDRESS(ROW() + $A$9-9 + (ROW()-11)*4,2,1,1,"Internet")))&gt;1,INDIRECT(ADDRESS(ROW() + $A$9-9 + (ROW()-11)*4,2,1,1,"Internet"))," "))</f>
        <v xml:space="preserve"> </v>
      </c>
      <c r="K106" s="457" t="str">
        <f ca="1">IF(N(I106)&gt;0,VLOOKUP(I106,Hraci!$A$1:$I$1500,3,0)," ")</f>
        <v xml:space="preserve"> </v>
      </c>
      <c r="L106" s="457" t="str">
        <f ca="1">IF(N(I106)&gt;0,VLOOKUP(I106,Hraci!$A$1:$I$1500,5,0),IF(TYPE(INDIRECT(ADDRESS(ROW() + $A$9-9 + (ROW()-11)*4,3,1,1,"Internet")))&gt;1,INDIRECT(ADDRESS(ROW() + $A$9-9 + (ROW()-11)*4,3,1,1,"Internet"))," "))</f>
        <v xml:space="preserve"> </v>
      </c>
      <c r="M106" s="395">
        <f ca="1">IF(N(I106)=0,9999,VLOOKUP(I106,Hraci!$A$1:$I$1500,8,0))</f>
        <v>9999</v>
      </c>
      <c r="N106" s="458">
        <f ca="1">IF(N(I106)=0,0,VLOOKUP(I106,Hraci!$A$1:$I$1500,9,0))</f>
        <v>0</v>
      </c>
      <c r="O106" s="455" t="str">
        <f t="shared" ca="1" si="39"/>
        <v/>
      </c>
      <c r="P106" s="456" t="str">
        <f ca="1">IF(N(O106)&gt;0,VLOOKUP(O106,Hraci!$A$1:$I$1500,2,0),IF(TYPE(INDIRECT(ADDRESS(ROW() + $A$9-8 + (ROW()-11)*4,2,1,1,"Internet")))&gt;1,INDIRECT(ADDRESS(ROW() + $A$9-8 + (ROW()-11)*4,2,1,1,"Internet"))," "))</f>
        <v xml:space="preserve"> </v>
      </c>
      <c r="Q106" s="457" t="str">
        <f ca="1">IF(N(O106)&gt;0,VLOOKUP(O106,Hraci!$A$1:$I$1500,3,0)," ")</f>
        <v xml:space="preserve"> </v>
      </c>
      <c r="R106" s="457" t="str">
        <f ca="1">IF(N(O106)&gt;0,VLOOKUP(O106,Hraci!$A$1:$I$1500,5,0),IF(TYPE(INDIRECT(ADDRESS(ROW() + $A$9-8 + (ROW()-11)*4,3,1,1,"Internet")))&gt;1,INDIRECT(ADDRESS(ROW() + $A$9-8 + (ROW()-11)*4,3,1,1,"Internet"))," "))</f>
        <v xml:space="preserve"> </v>
      </c>
      <c r="S106" s="395">
        <f ca="1">IF(N(O106)=0,9999,VLOOKUP(O106,Hraci!$A$1:$I$1500,8,0))</f>
        <v>9999</v>
      </c>
      <c r="T106" s="458">
        <f ca="1">IF(N(O106)=0,0,VLOOKUP(O106,Hraci!$A$1:$I$1500,9,0))</f>
        <v>0</v>
      </c>
      <c r="U106" s="455" t="str">
        <f t="shared" ca="1" si="40"/>
        <v/>
      </c>
      <c r="V106" s="456" t="str">
        <f ca="1">IF(N(U106)&gt;0,VLOOKUP(U106,Hraci!$A$1:$I$1500,2,0),IF(TYPE(INDIRECT(ADDRESS(ROW() + $A$9-7 + (ROW()-11)*4,2,1,1,"Internet")))&gt;1,INDIRECT(ADDRESS(ROW() + $A$9-7 + (ROW()-11)*4,2,1,1,"Internet"))," "))</f>
        <v xml:space="preserve"> </v>
      </c>
      <c r="W106" s="457" t="str">
        <f ca="1">IF(N(U106)&gt;0,VLOOKUP(U106,Hraci!$A$1:$I$1500,3,0)," ")</f>
        <v xml:space="preserve"> </v>
      </c>
      <c r="X106" s="457" t="str">
        <f ca="1">IF(N(U106)&gt;0,VLOOKUP(U106,Hraci!$A$1:$I$1500,5,0),IF(TYPE(INDIRECT(ADDRESS(ROW() + $A$9-7 + (ROW()-11)*4,3,1,1,"Internet")))&gt;1,INDIRECT(ADDRESS(ROW() + $A$9-7 + (ROW()-11)*4,3,1,1,"Internet"))," "))</f>
        <v xml:space="preserve"> </v>
      </c>
      <c r="Y106" s="395">
        <f ca="1">IF(N(U106)=0,9999,VLOOKUP(U106,Hraci!$A$1:$I$1500,8,0))</f>
        <v>9999</v>
      </c>
      <c r="Z106" s="458">
        <f ca="1">IF(N(U106)=0,0,VLOOKUP(U106,Hraci!$A$1:$I$1500,9,0))</f>
        <v>0</v>
      </c>
      <c r="AA106" s="455" t="str">
        <f t="shared" ca="1" si="41"/>
        <v/>
      </c>
      <c r="AB106" s="456" t="str">
        <f ca="1">IF(N(AA106)&gt;0,VLOOKUP(AA106,Hraci!$A$1:$I$1500,2,0)," ")</f>
        <v xml:space="preserve"> </v>
      </c>
      <c r="AC106" s="457" t="str">
        <f ca="1">IF(N(AA106)&gt;0,VLOOKUP(AA106,Hraci!$A$1:$I$1500,3,0)," ")</f>
        <v xml:space="preserve"> </v>
      </c>
      <c r="AD106" s="457" t="str">
        <f ca="1">IF(N(AA106)&gt;0,VLOOKUP(AA106,Hraci!$A$1:$I$1500,5,0)," ")</f>
        <v xml:space="preserve"> </v>
      </c>
      <c r="AE106" s="395">
        <f ca="1">IF(N(AA106)=0,9999,VLOOKUP(AA106,Hraci!$A$1:$I$1500,8,0))</f>
        <v>9999</v>
      </c>
      <c r="AF106" s="458">
        <f ca="1">IF(N(AA106)=0,0,VLOOKUP(AA106,Hraci!$A$1:$I$1500,9,0))</f>
        <v>0</v>
      </c>
      <c r="AG106" s="459"/>
      <c r="AH106" s="465">
        <f ca="1">IF(TYPE(VLOOKUP(H106,Nasazení!$A$3:$E$130,5,0))&lt;4,VLOOKUP(H106,Nasazení!$A$3:$E$130,5,0),0)</f>
        <v>0</v>
      </c>
      <c r="AI106" s="460" t="str">
        <f ca="1">IF(N($AH106)&gt;0,VLOOKUP($AH106,Body!$A$4:$F$259,5,0),"")</f>
        <v/>
      </c>
      <c r="AJ106" s="461" t="str">
        <f ca="1">IF(N($AH106)&gt;0,VLOOKUP($AH106,Body!$A$4:$F$259,6,0),"")</f>
        <v/>
      </c>
      <c r="AK106" s="460" t="str">
        <f ca="1">IF(N($AH106)&gt;0,VLOOKUP($AH106,Body!$A$4:$F$259,2,0),"")</f>
        <v/>
      </c>
      <c r="AL106" s="462" t="str">
        <f t="shared" ca="1" si="42"/>
        <v/>
      </c>
      <c r="AM106" s="463">
        <f t="shared" ca="1" si="43"/>
        <v>0</v>
      </c>
      <c r="AN106" s="395">
        <f ca="1">IF(OR(TYPE(I106)&gt;1,TYPE(MATCH(I106,I107:I$139,0))&gt;1),0,MATCH(I106,I107:I$139,0))+IF(OR(TYPE(I106)&gt;1,TYPE(MATCH(I106,O$11:O$139,0))&gt;1),0,MATCH(I106,O$11:O$139,0))+IF(OR(TYPE(I106)&gt;1,TYPE(MATCH(I106,U$11:U$139,0))&gt;1),0,MATCH(I106,U$11:U$139,0))+IF(OR(TYPE(I106)&gt;1,TYPE(MATCH(I106,AA$11:AA$139,0))&gt;1),0,MATCH(I106,AA$11:AA$139,0))</f>
        <v>0</v>
      </c>
      <c r="AO106" s="395">
        <f ca="1">IF(OR(TYPE(O106)&gt;1,TYPE(MATCH(O106,I$11:I$139,0))&gt;1),0,MATCH(O106,I$11:I$139,0))+IF(OR(TYPE(O106)&gt;1,TYPE(MATCH(O106,O107:O$139,0))&gt;1),0,MATCH(O106,O107:O$139,0))+IF(OR(TYPE(O106)&gt;1,TYPE(MATCH(O106,U$11:U$139,0))&gt;1),0,MATCH(O106,U$11:U$139,0))+IF(OR(TYPE(O106)&gt;1,TYPE(MATCH(O106,AA$11:AA$139,0))&gt;1),0,MATCH(O106,AA$11:AA$139,0))</f>
        <v>0</v>
      </c>
      <c r="AP106" s="395">
        <f ca="1">IF(OR(TYPE(U106)&gt;1,TYPE(MATCH(U106,I$11:I$139,0))&gt;1),0,MATCH(U106,I$11:I$139,0))+IF(OR(TYPE(U106)&gt;1,TYPE(MATCH(U106,O$11:O$139,0))&gt;1),0,MATCH(U106,O$11:O$139,0))+IF(OR(TYPE(U106)&gt;1,TYPE(MATCH(U106,U107:U$139,0))&gt;1),0,MATCH(U106,U107:U$139,0))+IF(OR(TYPE(U106)&gt;1,TYPE(MATCH(U106,AA$11:AA$139,0))&gt;1),0,MATCH(U106,AA$11:AA$139,0))</f>
        <v>0</v>
      </c>
      <c r="AQ106" s="395">
        <f ca="1">IF(OR(TYPE(AA106)&gt;1,TYPE(MATCH(AA106,I$11:I$139,0))&gt;1),0,MATCH(AA106,I$11:I$139,0))+IF(OR(TYPE(AA106)&gt;1,TYPE(MATCH(AA106,O$11:O$139,0))&gt;1),0,MATCH(AA106,O$11:O$139,0))+IF(OR(TYPE(AA106)&gt;1,TYPE(MATCH(AA106,U$11:U$139,0))&gt;1),0,MATCH(U106,U$11:U$139,0))+IF(OR(TYPE(AA106)&gt;1,TYPE(MATCH(AA106,AA107:AA$139,0))&gt;1),0,MATCH(AA106,AA107:AA$139,0))</f>
        <v>0</v>
      </c>
      <c r="AR106" s="395">
        <f t="shared" ca="1" si="44"/>
        <v>0</v>
      </c>
      <c r="BF106" s="395">
        <f t="shared" si="45"/>
        <v>96</v>
      </c>
    </row>
    <row r="107" spans="1:58" ht="12.9">
      <c r="A107" s="387">
        <f t="shared" ref="A107:A140" ca="1" si="46">IF(OR(LEFT(J107,1)=" ",ISBLANK(J107)),0,1)+IF(OR(LEFT(P107,1)=" ",ISBLANK(P107)),0,1)+IF(OR(LEFT(V107,1)=" ",ISBLANK(V107)),0,1)</f>
        <v>0</v>
      </c>
      <c r="B107" s="387">
        <f t="shared" ref="B107:B140" ca="1" si="47">IF(AND(TYPE(G107&lt;15),G107=FALSE),1,0)</f>
        <v>0</v>
      </c>
      <c r="C107" s="387">
        <f t="shared" ref="C107:C138" ca="1" si="48">IF(B107=0,0,N107+T107+Z107)</f>
        <v>0</v>
      </c>
      <c r="D107" s="387">
        <f t="shared" ref="D107:D140" ca="1" si="49">IF(B107=0,99999,M107+S107+Y107)</f>
        <v>99999</v>
      </c>
      <c r="E107" s="387">
        <f t="shared" ref="E107:E140" ca="1" si="50">MIN(M107,S107,Y107)</f>
        <v>9999</v>
      </c>
      <c r="F107" s="417" t="str">
        <f t="shared" ref="F107:F138" ca="1" si="51">CONCATENATE(IF(AND($P$4=1,H107&gt;2*$O$7),"0","9"),TEXT(B107,"0"),IF(AND($P$4=1,H107&gt;2*$O$7),"000000",TEXT(1000*C107,"000000")),IF(AND($P$4=1,H107&gt;2*$O$7),"000000",TEXT(999999-D107,"000000")),IF(AND($P$4=1,H107&gt;2*$O$7),"000000",TEXT(999999-E107,"000000")),TEXT(999999*RAND(),"000000"))</f>
        <v>00000000000000000000877968</v>
      </c>
      <c r="G107" s="453" t="b">
        <f t="shared" ref="G107:G140" ca="1" si="52">IF(OR($K$6&gt;A107,AR107&gt;0),TRUE,FALSE)</f>
        <v>1</v>
      </c>
      <c r="H107" s="454">
        <f t="shared" ref="H107:H138" si="53">ROW(H107)-10</f>
        <v>97</v>
      </c>
      <c r="I107" s="455" t="str">
        <f t="shared" ref="I107:I140" ca="1" si="54">IF(N(INDIRECT(ADDRESS(ROW() + $A$9-9 + (ROW()-11)*4,1,1,1,"Internet")))&gt;0,INDIRECT(ADDRESS(ROW() + $A$9-9 + (ROW()-11)*4,1,1,1,"Internet")),"")</f>
        <v/>
      </c>
      <c r="J107" s="456" t="str">
        <f ca="1">IF(N(I107)&gt;0,VLOOKUP(I107,Hraci!$A$1:$I$1500,2,0),IF(TYPE(INDIRECT(ADDRESS(ROW() + $A$9-9 + (ROW()-11)*4,2,1,1,"Internet")))&gt;1,INDIRECT(ADDRESS(ROW() + $A$9-9 + (ROW()-11)*4,2,1,1,"Internet"))," "))</f>
        <v xml:space="preserve"> </v>
      </c>
      <c r="K107" s="457" t="str">
        <f ca="1">IF(N(I107)&gt;0,VLOOKUP(I107,Hraci!$A$1:$I$1500,3,0)," ")</f>
        <v xml:space="preserve"> </v>
      </c>
      <c r="L107" s="457" t="str">
        <f ca="1">IF(N(I107)&gt;0,VLOOKUP(I107,Hraci!$A$1:$I$1500,5,0),IF(TYPE(INDIRECT(ADDRESS(ROW() + $A$9-9 + (ROW()-11)*4,3,1,1,"Internet")))&gt;1,INDIRECT(ADDRESS(ROW() + $A$9-9 + (ROW()-11)*4,3,1,1,"Internet"))," "))</f>
        <v xml:space="preserve"> </v>
      </c>
      <c r="M107" s="395">
        <f ca="1">IF(N(I107)=0,9999,VLOOKUP(I107,Hraci!$A$1:$I$1500,8,0))</f>
        <v>9999</v>
      </c>
      <c r="N107" s="458">
        <f ca="1">IF(N(I107)=0,0,VLOOKUP(I107,Hraci!$A$1:$I$1500,9,0))</f>
        <v>0</v>
      </c>
      <c r="O107" s="455" t="str">
        <f t="shared" ref="O107:O140" ca="1" si="55">IF(N(INDIRECT(ADDRESS(ROW() + $A$9-8 + (ROW()-11)*4,1,1,1,"Internet")))&gt;0,INDIRECT(ADDRESS(ROW() + $A$9-8 + (ROW()-11)*4,1,1,1,"Internet")),"")</f>
        <v/>
      </c>
      <c r="P107" s="456" t="str">
        <f ca="1">IF(N(O107)&gt;0,VLOOKUP(O107,Hraci!$A$1:$I$1500,2,0),IF(TYPE(INDIRECT(ADDRESS(ROW() + $A$9-8 + (ROW()-11)*4,2,1,1,"Internet")))&gt;1,INDIRECT(ADDRESS(ROW() + $A$9-8 + (ROW()-11)*4,2,1,1,"Internet"))," "))</f>
        <v xml:space="preserve"> </v>
      </c>
      <c r="Q107" s="457" t="str">
        <f ca="1">IF(N(O107)&gt;0,VLOOKUP(O107,Hraci!$A$1:$I$1500,3,0)," ")</f>
        <v xml:space="preserve"> </v>
      </c>
      <c r="R107" s="457" t="str">
        <f ca="1">IF(N(O107)&gt;0,VLOOKUP(O107,Hraci!$A$1:$I$1500,5,0),IF(TYPE(INDIRECT(ADDRESS(ROW() + $A$9-8 + (ROW()-11)*4,3,1,1,"Internet")))&gt;1,INDIRECT(ADDRESS(ROW() + $A$9-8 + (ROW()-11)*4,3,1,1,"Internet"))," "))</f>
        <v xml:space="preserve"> </v>
      </c>
      <c r="S107" s="395">
        <f ca="1">IF(N(O107)=0,9999,VLOOKUP(O107,Hraci!$A$1:$I$1500,8,0))</f>
        <v>9999</v>
      </c>
      <c r="T107" s="458">
        <f ca="1">IF(N(O107)=0,0,VLOOKUP(O107,Hraci!$A$1:$I$1500,9,0))</f>
        <v>0</v>
      </c>
      <c r="U107" s="455" t="str">
        <f t="shared" ref="U107:U140" ca="1" si="56">IF(N(INDIRECT(ADDRESS(ROW() + $A$9-7 + (ROW()-11)*4,1,1,1,"Internet")))&gt;0,INDIRECT(ADDRESS(ROW() + $A$9-7 + (ROW()-11)*4,1,1,1,"Internet")),"")</f>
        <v/>
      </c>
      <c r="V107" s="456" t="str">
        <f ca="1">IF(N(U107)&gt;0,VLOOKUP(U107,Hraci!$A$1:$I$1500,2,0),IF(TYPE(INDIRECT(ADDRESS(ROW() + $A$9-7 + (ROW()-11)*4,2,1,1,"Internet")))&gt;1,INDIRECT(ADDRESS(ROW() + $A$9-7 + (ROW()-11)*4,2,1,1,"Internet"))," "))</f>
        <v xml:space="preserve"> </v>
      </c>
      <c r="W107" s="457" t="str">
        <f ca="1">IF(N(U107)&gt;0,VLOOKUP(U107,Hraci!$A$1:$I$1500,3,0)," ")</f>
        <v xml:space="preserve"> </v>
      </c>
      <c r="X107" s="457" t="str">
        <f ca="1">IF(N(U107)&gt;0,VLOOKUP(U107,Hraci!$A$1:$I$1500,5,0),IF(TYPE(INDIRECT(ADDRESS(ROW() + $A$9-7 + (ROW()-11)*4,3,1,1,"Internet")))&gt;1,INDIRECT(ADDRESS(ROW() + $A$9-7 + (ROW()-11)*4,3,1,1,"Internet"))," "))</f>
        <v xml:space="preserve"> </v>
      </c>
      <c r="Y107" s="395">
        <f ca="1">IF(N(U107)=0,9999,VLOOKUP(U107,Hraci!$A$1:$I$1500,8,0))</f>
        <v>9999</v>
      </c>
      <c r="Z107" s="458">
        <f ca="1">IF(N(U107)=0,0,VLOOKUP(U107,Hraci!$A$1:$I$1500,9,0))</f>
        <v>0</v>
      </c>
      <c r="AA107" s="455" t="str">
        <f t="shared" ref="AA107:AA140" ca="1" si="57">IF(N(INDIRECT(ADDRESS(ROW() + $A$9-6 + (ROW()-11)*4,1,1,1,"Internet")))&gt;0,INDIRECT(ADDRESS(ROW() + $A$9-6 + (ROW()-11)*4,1,1,1,"Internet")),"")</f>
        <v/>
      </c>
      <c r="AB107" s="456" t="str">
        <f ca="1">IF(N(AA107)&gt;0,VLOOKUP(AA107,Hraci!$A$1:$I$1500,2,0)," ")</f>
        <v xml:space="preserve"> </v>
      </c>
      <c r="AC107" s="457" t="str">
        <f ca="1">IF(N(AA107)&gt;0,VLOOKUP(AA107,Hraci!$A$1:$I$1500,3,0)," ")</f>
        <v xml:space="preserve"> </v>
      </c>
      <c r="AD107" s="457" t="str">
        <f ca="1">IF(N(AA107)&gt;0,VLOOKUP(AA107,Hraci!$A$1:$I$1500,5,0)," ")</f>
        <v xml:space="preserve"> </v>
      </c>
      <c r="AE107" s="395">
        <f ca="1">IF(N(AA107)=0,9999,VLOOKUP(AA107,Hraci!$A$1:$I$1500,8,0))</f>
        <v>9999</v>
      </c>
      <c r="AF107" s="458">
        <f ca="1">IF(N(AA107)=0,0,VLOOKUP(AA107,Hraci!$A$1:$I$1500,9,0))</f>
        <v>0</v>
      </c>
      <c r="AG107" s="459"/>
      <c r="AH107" s="465">
        <f ca="1">IF(TYPE(VLOOKUP(H107,Nasazení!$A$3:$E$130,5,0))&lt;4,VLOOKUP(H107,Nasazení!$A$3:$E$130,5,0),0)</f>
        <v>0</v>
      </c>
      <c r="AI107" s="460" t="str">
        <f ca="1">IF(N($AH107)&gt;0,VLOOKUP($AH107,Body!$A$4:$F$259,5,0),"")</f>
        <v/>
      </c>
      <c r="AJ107" s="461" t="str">
        <f ca="1">IF(N($AH107)&gt;0,VLOOKUP($AH107,Body!$A$4:$F$259,6,0),"")</f>
        <v/>
      </c>
      <c r="AK107" s="460" t="str">
        <f ca="1">IF(N($AH107)&gt;0,VLOOKUP($AH107,Body!$A$4:$F$259,2,0),"")</f>
        <v/>
      </c>
      <c r="AL107" s="462" t="str">
        <f t="shared" ref="AL107:AL138" ca="1" si="58">IF(N(H107)&gt;$K$7,"",CONCATENATE(IF($U$7="","",H107&amp;" "),L107,IF(L107="",""," - "),J107," ",K107))</f>
        <v/>
      </c>
      <c r="AM107" s="463">
        <f t="shared" ref="AM107:AM138" ca="1" si="59">C107</f>
        <v>0</v>
      </c>
      <c r="AN107" s="395">
        <f ca="1">IF(OR(TYPE(I107)&gt;1,TYPE(MATCH(I107,I108:I$139,0))&gt;1),0,MATCH(I107,I108:I$139,0))+IF(OR(TYPE(I107)&gt;1,TYPE(MATCH(I107,O$11:O$139,0))&gt;1),0,MATCH(I107,O$11:O$139,0))+IF(OR(TYPE(I107)&gt;1,TYPE(MATCH(I107,U$11:U$139,0))&gt;1),0,MATCH(I107,U$11:U$139,0))+IF(OR(TYPE(I107)&gt;1,TYPE(MATCH(I107,AA$11:AA$139,0))&gt;1),0,MATCH(I107,AA$11:AA$139,0))</f>
        <v>0</v>
      </c>
      <c r="AO107" s="395">
        <f ca="1">IF(OR(TYPE(O107)&gt;1,TYPE(MATCH(O107,I$11:I$139,0))&gt;1),0,MATCH(O107,I$11:I$139,0))+IF(OR(TYPE(O107)&gt;1,TYPE(MATCH(O107,O108:O$139,0))&gt;1),0,MATCH(O107,O108:O$139,0))+IF(OR(TYPE(O107)&gt;1,TYPE(MATCH(O107,U$11:U$139,0))&gt;1),0,MATCH(O107,U$11:U$139,0))+IF(OR(TYPE(O107)&gt;1,TYPE(MATCH(O107,AA$11:AA$139,0))&gt;1),0,MATCH(O107,AA$11:AA$139,0))</f>
        <v>0</v>
      </c>
      <c r="AP107" s="395">
        <f ca="1">IF(OR(TYPE(U107)&gt;1,TYPE(MATCH(U107,I$11:I$139,0))&gt;1),0,MATCH(U107,I$11:I$139,0))+IF(OR(TYPE(U107)&gt;1,TYPE(MATCH(U107,O$11:O$139,0))&gt;1),0,MATCH(U107,O$11:O$139,0))+IF(OR(TYPE(U107)&gt;1,TYPE(MATCH(U107,U108:U$139,0))&gt;1),0,MATCH(U107,U108:U$139,0))+IF(OR(TYPE(U107)&gt;1,TYPE(MATCH(U107,AA$11:AA$139,0))&gt;1),0,MATCH(U107,AA$11:AA$139,0))</f>
        <v>0</v>
      </c>
      <c r="AQ107" s="395">
        <f ca="1">IF(OR(TYPE(AA107)&gt;1,TYPE(MATCH(AA107,I$11:I$139,0))&gt;1),0,MATCH(AA107,I$11:I$139,0))+IF(OR(TYPE(AA107)&gt;1,TYPE(MATCH(AA107,O$11:O$139,0))&gt;1),0,MATCH(AA107,O$11:O$139,0))+IF(OR(TYPE(AA107)&gt;1,TYPE(MATCH(AA107,U$11:U$139,0))&gt;1),0,MATCH(U107,U$11:U$139,0))+IF(OR(TYPE(AA107)&gt;1,TYPE(MATCH(AA107,AA108:AA$139,0))&gt;1),0,MATCH(AA107,AA108:AA$139,0))</f>
        <v>0</v>
      </c>
      <c r="AR107" s="395">
        <f t="shared" ca="1" si="44"/>
        <v>0</v>
      </c>
      <c r="BF107" s="395">
        <f t="shared" si="45"/>
        <v>97</v>
      </c>
    </row>
    <row r="108" spans="1:58" ht="12.9">
      <c r="A108" s="387">
        <f t="shared" ca="1" si="46"/>
        <v>0</v>
      </c>
      <c r="B108" s="387">
        <f t="shared" ca="1" si="47"/>
        <v>0</v>
      </c>
      <c r="C108" s="387">
        <f t="shared" ca="1" si="48"/>
        <v>0</v>
      </c>
      <c r="D108" s="387">
        <f t="shared" ca="1" si="49"/>
        <v>99999</v>
      </c>
      <c r="E108" s="387">
        <f t="shared" ca="1" si="50"/>
        <v>9999</v>
      </c>
      <c r="F108" s="417" t="str">
        <f t="shared" ca="1" si="51"/>
        <v>00000000000000000000214409</v>
      </c>
      <c r="G108" s="453" t="b">
        <f t="shared" ca="1" si="52"/>
        <v>1</v>
      </c>
      <c r="H108" s="454">
        <f t="shared" si="53"/>
        <v>98</v>
      </c>
      <c r="I108" s="455" t="str">
        <f t="shared" ca="1" si="54"/>
        <v/>
      </c>
      <c r="J108" s="456" t="str">
        <f ca="1">IF(N(I108)&gt;0,VLOOKUP(I108,Hraci!$A$1:$I$1500,2,0),IF(TYPE(INDIRECT(ADDRESS(ROW() + $A$9-9 + (ROW()-11)*4,2,1,1,"Internet")))&gt;1,INDIRECT(ADDRESS(ROW() + $A$9-9 + (ROW()-11)*4,2,1,1,"Internet"))," "))</f>
        <v xml:space="preserve"> </v>
      </c>
      <c r="K108" s="457" t="str">
        <f ca="1">IF(N(I108)&gt;0,VLOOKUP(I108,Hraci!$A$1:$I$1500,3,0)," ")</f>
        <v xml:space="preserve"> </v>
      </c>
      <c r="L108" s="457" t="str">
        <f ca="1">IF(N(I108)&gt;0,VLOOKUP(I108,Hraci!$A$1:$I$1500,5,0),IF(TYPE(INDIRECT(ADDRESS(ROW() + $A$9-9 + (ROW()-11)*4,3,1,1,"Internet")))&gt;1,INDIRECT(ADDRESS(ROW() + $A$9-9 + (ROW()-11)*4,3,1,1,"Internet"))," "))</f>
        <v xml:space="preserve"> </v>
      </c>
      <c r="M108" s="395">
        <f ca="1">IF(N(I108)=0,9999,VLOOKUP(I108,Hraci!$A$1:$I$1500,8,0))</f>
        <v>9999</v>
      </c>
      <c r="N108" s="458">
        <f ca="1">IF(N(I108)=0,0,VLOOKUP(I108,Hraci!$A$1:$I$1500,9,0))</f>
        <v>0</v>
      </c>
      <c r="O108" s="455" t="str">
        <f t="shared" ca="1" si="55"/>
        <v/>
      </c>
      <c r="P108" s="456" t="str">
        <f ca="1">IF(N(O108)&gt;0,VLOOKUP(O108,Hraci!$A$1:$I$1500,2,0),IF(TYPE(INDIRECT(ADDRESS(ROW() + $A$9-8 + (ROW()-11)*4,2,1,1,"Internet")))&gt;1,INDIRECT(ADDRESS(ROW() + $A$9-8 + (ROW()-11)*4,2,1,1,"Internet"))," "))</f>
        <v xml:space="preserve"> </v>
      </c>
      <c r="Q108" s="457" t="str">
        <f ca="1">IF(N(O108)&gt;0,VLOOKUP(O108,Hraci!$A$1:$I$1500,3,0)," ")</f>
        <v xml:space="preserve"> </v>
      </c>
      <c r="R108" s="457" t="str">
        <f ca="1">IF(N(O108)&gt;0,VLOOKUP(O108,Hraci!$A$1:$I$1500,5,0),IF(TYPE(INDIRECT(ADDRESS(ROW() + $A$9-8 + (ROW()-11)*4,3,1,1,"Internet")))&gt;1,INDIRECT(ADDRESS(ROW() + $A$9-8 + (ROW()-11)*4,3,1,1,"Internet"))," "))</f>
        <v xml:space="preserve"> </v>
      </c>
      <c r="S108" s="395">
        <f ca="1">IF(N(O108)=0,9999,VLOOKUP(O108,Hraci!$A$1:$I$1500,8,0))</f>
        <v>9999</v>
      </c>
      <c r="T108" s="458">
        <f ca="1">IF(N(O108)=0,0,VLOOKUP(O108,Hraci!$A$1:$I$1500,9,0))</f>
        <v>0</v>
      </c>
      <c r="U108" s="455" t="str">
        <f t="shared" ca="1" si="56"/>
        <v/>
      </c>
      <c r="V108" s="456" t="str">
        <f ca="1">IF(N(U108)&gt;0,VLOOKUP(U108,Hraci!$A$1:$I$1500,2,0),IF(TYPE(INDIRECT(ADDRESS(ROW() + $A$9-7 + (ROW()-11)*4,2,1,1,"Internet")))&gt;1,INDIRECT(ADDRESS(ROW() + $A$9-7 + (ROW()-11)*4,2,1,1,"Internet"))," "))</f>
        <v xml:space="preserve"> </v>
      </c>
      <c r="W108" s="457" t="str">
        <f ca="1">IF(N(U108)&gt;0,VLOOKUP(U108,Hraci!$A$1:$I$1500,3,0)," ")</f>
        <v xml:space="preserve"> </v>
      </c>
      <c r="X108" s="457" t="str">
        <f ca="1">IF(N(U108)&gt;0,VLOOKUP(U108,Hraci!$A$1:$I$1500,5,0),IF(TYPE(INDIRECT(ADDRESS(ROW() + $A$9-7 + (ROW()-11)*4,3,1,1,"Internet")))&gt;1,INDIRECT(ADDRESS(ROW() + $A$9-7 + (ROW()-11)*4,3,1,1,"Internet"))," "))</f>
        <v xml:space="preserve"> </v>
      </c>
      <c r="Y108" s="395">
        <f ca="1">IF(N(U108)=0,9999,VLOOKUP(U108,Hraci!$A$1:$I$1500,8,0))</f>
        <v>9999</v>
      </c>
      <c r="Z108" s="458">
        <f ca="1">IF(N(U108)=0,0,VLOOKUP(U108,Hraci!$A$1:$I$1500,9,0))</f>
        <v>0</v>
      </c>
      <c r="AA108" s="455" t="str">
        <f t="shared" ca="1" si="57"/>
        <v/>
      </c>
      <c r="AB108" s="456" t="str">
        <f ca="1">IF(N(AA108)&gt;0,VLOOKUP(AA108,Hraci!$A$1:$I$1500,2,0)," ")</f>
        <v xml:space="preserve"> </v>
      </c>
      <c r="AC108" s="457" t="str">
        <f ca="1">IF(N(AA108)&gt;0,VLOOKUP(AA108,Hraci!$A$1:$I$1500,3,0)," ")</f>
        <v xml:space="preserve"> </v>
      </c>
      <c r="AD108" s="457" t="str">
        <f ca="1">IF(N(AA108)&gt;0,VLOOKUP(AA108,Hraci!$A$1:$I$1500,5,0)," ")</f>
        <v xml:space="preserve"> </v>
      </c>
      <c r="AE108" s="395">
        <f ca="1">IF(N(AA108)=0,9999,VLOOKUP(AA108,Hraci!$A$1:$I$1500,8,0))</f>
        <v>9999</v>
      </c>
      <c r="AF108" s="458">
        <f ca="1">IF(N(AA108)=0,0,VLOOKUP(AA108,Hraci!$A$1:$I$1500,9,0))</f>
        <v>0</v>
      </c>
      <c r="AG108" s="459"/>
      <c r="AH108" s="465">
        <f ca="1">IF(TYPE(VLOOKUP(H108,Nasazení!$A$3:$E$130,5,0))&lt;4,VLOOKUP(H108,Nasazení!$A$3:$E$130,5,0),0)</f>
        <v>0</v>
      </c>
      <c r="AI108" s="460" t="str">
        <f ca="1">IF(N($AH108)&gt;0,VLOOKUP($AH108,Body!$A$4:$F$259,5,0),"")</f>
        <v/>
      </c>
      <c r="AJ108" s="461" t="str">
        <f ca="1">IF(N($AH108)&gt;0,VLOOKUP($AH108,Body!$A$4:$F$259,6,0),"")</f>
        <v/>
      </c>
      <c r="AK108" s="460" t="str">
        <f ca="1">IF(N($AH108)&gt;0,VLOOKUP($AH108,Body!$A$4:$F$259,2,0),"")</f>
        <v/>
      </c>
      <c r="AL108" s="462" t="str">
        <f t="shared" ca="1" si="58"/>
        <v/>
      </c>
      <c r="AM108" s="463">
        <f t="shared" ca="1" si="59"/>
        <v>0</v>
      </c>
      <c r="AN108" s="395">
        <f ca="1">IF(OR(TYPE(I108)&gt;1,TYPE(MATCH(I108,I109:I$139,0))&gt;1),0,MATCH(I108,I109:I$139,0))+IF(OR(TYPE(I108)&gt;1,TYPE(MATCH(I108,O$11:O$139,0))&gt;1),0,MATCH(I108,O$11:O$139,0))+IF(OR(TYPE(I108)&gt;1,TYPE(MATCH(I108,U$11:U$139,0))&gt;1),0,MATCH(I108,U$11:U$139,0))+IF(OR(TYPE(I108)&gt;1,TYPE(MATCH(I108,AA$11:AA$139,0))&gt;1),0,MATCH(I108,AA$11:AA$139,0))</f>
        <v>0</v>
      </c>
      <c r="AO108" s="395">
        <f ca="1">IF(OR(TYPE(O108)&gt;1,TYPE(MATCH(O108,I$11:I$139,0))&gt;1),0,MATCH(O108,I$11:I$139,0))+IF(OR(TYPE(O108)&gt;1,TYPE(MATCH(O108,O109:O$139,0))&gt;1),0,MATCH(O108,O109:O$139,0))+IF(OR(TYPE(O108)&gt;1,TYPE(MATCH(O108,U$11:U$139,0))&gt;1),0,MATCH(O108,U$11:U$139,0))+IF(OR(TYPE(O108)&gt;1,TYPE(MATCH(O108,AA$11:AA$139,0))&gt;1),0,MATCH(O108,AA$11:AA$139,0))</f>
        <v>0</v>
      </c>
      <c r="AP108" s="395">
        <f ca="1">IF(OR(TYPE(U108)&gt;1,TYPE(MATCH(U108,I$11:I$139,0))&gt;1),0,MATCH(U108,I$11:I$139,0))+IF(OR(TYPE(U108)&gt;1,TYPE(MATCH(U108,O$11:O$139,0))&gt;1),0,MATCH(U108,O$11:O$139,0))+IF(OR(TYPE(U108)&gt;1,TYPE(MATCH(U108,U109:U$139,0))&gt;1),0,MATCH(U108,U109:U$139,0))+IF(OR(TYPE(U108)&gt;1,TYPE(MATCH(U108,AA$11:AA$139,0))&gt;1),0,MATCH(U108,AA$11:AA$139,0))</f>
        <v>0</v>
      </c>
      <c r="AQ108" s="395">
        <f ca="1">IF(OR(TYPE(AA108)&gt;1,TYPE(MATCH(AA108,I$11:I$139,0))&gt;1),0,MATCH(AA108,I$11:I$139,0))+IF(OR(TYPE(AA108)&gt;1,TYPE(MATCH(AA108,O$11:O$139,0))&gt;1),0,MATCH(AA108,O$11:O$139,0))+IF(OR(TYPE(AA108)&gt;1,TYPE(MATCH(AA108,U$11:U$139,0))&gt;1),0,MATCH(U108,U$11:U$139,0))+IF(OR(TYPE(AA108)&gt;1,TYPE(MATCH(AA108,AA109:AA$139,0))&gt;1),0,MATCH(AA108,AA109:AA$139,0))</f>
        <v>0</v>
      </c>
      <c r="AR108" s="395">
        <f t="shared" ca="1" si="44"/>
        <v>0</v>
      </c>
      <c r="BF108" s="395">
        <f t="shared" si="45"/>
        <v>98</v>
      </c>
    </row>
    <row r="109" spans="1:58" ht="12.9">
      <c r="A109" s="387">
        <f t="shared" ca="1" si="46"/>
        <v>0</v>
      </c>
      <c r="B109" s="387">
        <f t="shared" ca="1" si="47"/>
        <v>0</v>
      </c>
      <c r="C109" s="387">
        <f t="shared" ca="1" si="48"/>
        <v>0</v>
      </c>
      <c r="D109" s="387">
        <f t="shared" ca="1" si="49"/>
        <v>99999</v>
      </c>
      <c r="E109" s="387">
        <f t="shared" ca="1" si="50"/>
        <v>9999</v>
      </c>
      <c r="F109" s="417" t="str">
        <f t="shared" ca="1" si="51"/>
        <v>00000000000000000000582760</v>
      </c>
      <c r="G109" s="453" t="b">
        <f t="shared" ca="1" si="52"/>
        <v>1</v>
      </c>
      <c r="H109" s="454">
        <f t="shared" si="53"/>
        <v>99</v>
      </c>
      <c r="I109" s="455" t="str">
        <f t="shared" ca="1" si="54"/>
        <v/>
      </c>
      <c r="J109" s="456" t="str">
        <f ca="1">IF(N(I109)&gt;0,VLOOKUP(I109,Hraci!$A$1:$I$1500,2,0),IF(TYPE(INDIRECT(ADDRESS(ROW() + $A$9-9 + (ROW()-11)*4,2,1,1,"Internet")))&gt;1,INDIRECT(ADDRESS(ROW() + $A$9-9 + (ROW()-11)*4,2,1,1,"Internet"))," "))</f>
        <v xml:space="preserve"> </v>
      </c>
      <c r="K109" s="457" t="str">
        <f ca="1">IF(N(I109)&gt;0,VLOOKUP(I109,Hraci!$A$1:$I$1500,3,0)," ")</f>
        <v xml:space="preserve"> </v>
      </c>
      <c r="L109" s="457" t="str">
        <f ca="1">IF(N(I109)&gt;0,VLOOKUP(I109,Hraci!$A$1:$I$1500,5,0),IF(TYPE(INDIRECT(ADDRESS(ROW() + $A$9-9 + (ROW()-11)*4,3,1,1,"Internet")))&gt;1,INDIRECT(ADDRESS(ROW() + $A$9-9 + (ROW()-11)*4,3,1,1,"Internet"))," "))</f>
        <v xml:space="preserve"> </v>
      </c>
      <c r="M109" s="395">
        <f ca="1">IF(N(I109)=0,9999,VLOOKUP(I109,Hraci!$A$1:$I$1500,8,0))</f>
        <v>9999</v>
      </c>
      <c r="N109" s="458">
        <f ca="1">IF(N(I109)=0,0,VLOOKUP(I109,Hraci!$A$1:$I$1500,9,0))</f>
        <v>0</v>
      </c>
      <c r="O109" s="455" t="str">
        <f t="shared" ca="1" si="55"/>
        <v/>
      </c>
      <c r="P109" s="456" t="str">
        <f ca="1">IF(N(O109)&gt;0,VLOOKUP(O109,Hraci!$A$1:$I$1500,2,0),IF(TYPE(INDIRECT(ADDRESS(ROW() + $A$9-8 + (ROW()-11)*4,2,1,1,"Internet")))&gt;1,INDIRECT(ADDRESS(ROW() + $A$9-8 + (ROW()-11)*4,2,1,1,"Internet"))," "))</f>
        <v xml:space="preserve"> </v>
      </c>
      <c r="Q109" s="457" t="str">
        <f ca="1">IF(N(O109)&gt;0,VLOOKUP(O109,Hraci!$A$1:$I$1500,3,0)," ")</f>
        <v xml:space="preserve"> </v>
      </c>
      <c r="R109" s="457" t="str">
        <f ca="1">IF(N(O109)&gt;0,VLOOKUP(O109,Hraci!$A$1:$I$1500,5,0),IF(TYPE(INDIRECT(ADDRESS(ROW() + $A$9-8 + (ROW()-11)*4,3,1,1,"Internet")))&gt;1,INDIRECT(ADDRESS(ROW() + $A$9-8 + (ROW()-11)*4,3,1,1,"Internet"))," "))</f>
        <v xml:space="preserve"> </v>
      </c>
      <c r="S109" s="395">
        <f ca="1">IF(N(O109)=0,9999,VLOOKUP(O109,Hraci!$A$1:$I$1500,8,0))</f>
        <v>9999</v>
      </c>
      <c r="T109" s="458">
        <f ca="1">IF(N(O109)=0,0,VLOOKUP(O109,Hraci!$A$1:$I$1500,9,0))</f>
        <v>0</v>
      </c>
      <c r="U109" s="455" t="str">
        <f t="shared" ca="1" si="56"/>
        <v/>
      </c>
      <c r="V109" s="456" t="str">
        <f ca="1">IF(N(U109)&gt;0,VLOOKUP(U109,Hraci!$A$1:$I$1500,2,0),IF(TYPE(INDIRECT(ADDRESS(ROW() + $A$9-7 + (ROW()-11)*4,2,1,1,"Internet")))&gt;1,INDIRECT(ADDRESS(ROW() + $A$9-7 + (ROW()-11)*4,2,1,1,"Internet"))," "))</f>
        <v xml:space="preserve"> </v>
      </c>
      <c r="W109" s="457" t="str">
        <f ca="1">IF(N(U109)&gt;0,VLOOKUP(U109,Hraci!$A$1:$I$1500,3,0)," ")</f>
        <v xml:space="preserve"> </v>
      </c>
      <c r="X109" s="457" t="str">
        <f ca="1">IF(N(U109)&gt;0,VLOOKUP(U109,Hraci!$A$1:$I$1500,5,0),IF(TYPE(INDIRECT(ADDRESS(ROW() + $A$9-7 + (ROW()-11)*4,3,1,1,"Internet")))&gt;1,INDIRECT(ADDRESS(ROW() + $A$9-7 + (ROW()-11)*4,3,1,1,"Internet"))," "))</f>
        <v xml:space="preserve"> </v>
      </c>
      <c r="Y109" s="395">
        <f ca="1">IF(N(U109)=0,9999,VLOOKUP(U109,Hraci!$A$1:$I$1500,8,0))</f>
        <v>9999</v>
      </c>
      <c r="Z109" s="458">
        <f ca="1">IF(N(U109)=0,0,VLOOKUP(U109,Hraci!$A$1:$I$1500,9,0))</f>
        <v>0</v>
      </c>
      <c r="AA109" s="455" t="str">
        <f t="shared" ca="1" si="57"/>
        <v/>
      </c>
      <c r="AB109" s="456" t="str">
        <f ca="1">IF(N(AA109)&gt;0,VLOOKUP(AA109,Hraci!$A$1:$I$1500,2,0)," ")</f>
        <v xml:space="preserve"> </v>
      </c>
      <c r="AC109" s="457" t="str">
        <f ca="1">IF(N(AA109)&gt;0,VLOOKUP(AA109,Hraci!$A$1:$I$1500,3,0)," ")</f>
        <v xml:space="preserve"> </v>
      </c>
      <c r="AD109" s="457" t="str">
        <f ca="1">IF(N(AA109)&gt;0,VLOOKUP(AA109,Hraci!$A$1:$I$1500,5,0)," ")</f>
        <v xml:space="preserve"> </v>
      </c>
      <c r="AE109" s="395">
        <f ca="1">IF(N(AA109)=0,9999,VLOOKUP(AA109,Hraci!$A$1:$I$1500,8,0))</f>
        <v>9999</v>
      </c>
      <c r="AF109" s="458">
        <f ca="1">IF(N(AA109)=0,0,VLOOKUP(AA109,Hraci!$A$1:$I$1500,9,0))</f>
        <v>0</v>
      </c>
      <c r="AG109" s="459"/>
      <c r="AH109" s="465">
        <f ca="1">IF(TYPE(VLOOKUP(H109,Nasazení!$A$3:$E$130,5,0))&lt;4,VLOOKUP(H109,Nasazení!$A$3:$E$130,5,0),0)</f>
        <v>0</v>
      </c>
      <c r="AI109" s="460" t="str">
        <f ca="1">IF(N($AH109)&gt;0,VLOOKUP($AH109,Body!$A$4:$F$259,5,0),"")</f>
        <v/>
      </c>
      <c r="AJ109" s="461" t="str">
        <f ca="1">IF(N($AH109)&gt;0,VLOOKUP($AH109,Body!$A$4:$F$259,6,0),"")</f>
        <v/>
      </c>
      <c r="AK109" s="460" t="str">
        <f ca="1">IF(N($AH109)&gt;0,VLOOKUP($AH109,Body!$A$4:$F$259,2,0),"")</f>
        <v/>
      </c>
      <c r="AL109" s="462" t="str">
        <f t="shared" ca="1" si="58"/>
        <v/>
      </c>
      <c r="AM109" s="463">
        <f t="shared" ca="1" si="59"/>
        <v>0</v>
      </c>
      <c r="AN109" s="395">
        <f ca="1">IF(OR(TYPE(I109)&gt;1,TYPE(MATCH(I109,I110:I$139,0))&gt;1),0,MATCH(I109,I110:I$139,0))+IF(OR(TYPE(I109)&gt;1,TYPE(MATCH(I109,O$11:O$139,0))&gt;1),0,MATCH(I109,O$11:O$139,0))+IF(OR(TYPE(I109)&gt;1,TYPE(MATCH(I109,U$11:U$139,0))&gt;1),0,MATCH(I109,U$11:U$139,0))+IF(OR(TYPE(I109)&gt;1,TYPE(MATCH(I109,AA$11:AA$139,0))&gt;1),0,MATCH(I109,AA$11:AA$139,0))</f>
        <v>0</v>
      </c>
      <c r="AO109" s="395">
        <f ca="1">IF(OR(TYPE(O109)&gt;1,TYPE(MATCH(O109,I$11:I$139,0))&gt;1),0,MATCH(O109,I$11:I$139,0))+IF(OR(TYPE(O109)&gt;1,TYPE(MATCH(O109,O110:O$139,0))&gt;1),0,MATCH(O109,O110:O$139,0))+IF(OR(TYPE(O109)&gt;1,TYPE(MATCH(O109,U$11:U$139,0))&gt;1),0,MATCH(O109,U$11:U$139,0))+IF(OR(TYPE(O109)&gt;1,TYPE(MATCH(O109,AA$11:AA$139,0))&gt;1),0,MATCH(O109,AA$11:AA$139,0))</f>
        <v>0</v>
      </c>
      <c r="AP109" s="395">
        <f ca="1">IF(OR(TYPE(U109)&gt;1,TYPE(MATCH(U109,I$11:I$139,0))&gt;1),0,MATCH(U109,I$11:I$139,0))+IF(OR(TYPE(U109)&gt;1,TYPE(MATCH(U109,O$11:O$139,0))&gt;1),0,MATCH(U109,O$11:O$139,0))+IF(OR(TYPE(U109)&gt;1,TYPE(MATCH(U109,U110:U$139,0))&gt;1),0,MATCH(U109,U110:U$139,0))+IF(OR(TYPE(U109)&gt;1,TYPE(MATCH(U109,AA$11:AA$139,0))&gt;1),0,MATCH(U109,AA$11:AA$139,0))</f>
        <v>0</v>
      </c>
      <c r="AQ109" s="395">
        <f ca="1">IF(OR(TYPE(AA109)&gt;1,TYPE(MATCH(AA109,I$11:I$139,0))&gt;1),0,MATCH(AA109,I$11:I$139,0))+IF(OR(TYPE(AA109)&gt;1,TYPE(MATCH(AA109,O$11:O$139,0))&gt;1),0,MATCH(AA109,O$11:O$139,0))+IF(OR(TYPE(AA109)&gt;1,TYPE(MATCH(AA109,U$11:U$139,0))&gt;1),0,MATCH(U109,U$11:U$139,0))+IF(OR(TYPE(AA109)&gt;1,TYPE(MATCH(AA109,AA110:AA$139,0))&gt;1),0,MATCH(AA109,AA110:AA$139,0))</f>
        <v>0</v>
      </c>
      <c r="AR109" s="395">
        <f t="shared" ca="1" si="44"/>
        <v>0</v>
      </c>
      <c r="BF109" s="395">
        <f t="shared" si="45"/>
        <v>99</v>
      </c>
    </row>
    <row r="110" spans="1:58" ht="12.9">
      <c r="A110" s="387">
        <f t="shared" ca="1" si="46"/>
        <v>0</v>
      </c>
      <c r="B110" s="387">
        <f t="shared" ca="1" si="47"/>
        <v>0</v>
      </c>
      <c r="C110" s="387">
        <f t="shared" ca="1" si="48"/>
        <v>0</v>
      </c>
      <c r="D110" s="387">
        <f t="shared" ca="1" si="49"/>
        <v>99999</v>
      </c>
      <c r="E110" s="387">
        <f t="shared" ca="1" si="50"/>
        <v>9999</v>
      </c>
      <c r="F110" s="417" t="str">
        <f t="shared" ca="1" si="51"/>
        <v>00000000000000000000396079</v>
      </c>
      <c r="G110" s="453" t="b">
        <f t="shared" ca="1" si="52"/>
        <v>1</v>
      </c>
      <c r="H110" s="454">
        <f t="shared" si="53"/>
        <v>100</v>
      </c>
      <c r="I110" s="455" t="str">
        <f t="shared" ca="1" si="54"/>
        <v/>
      </c>
      <c r="J110" s="456" t="str">
        <f ca="1">IF(N(I110)&gt;0,VLOOKUP(I110,Hraci!$A$1:$I$1500,2,0),IF(TYPE(INDIRECT(ADDRESS(ROW() + $A$9-9 + (ROW()-11)*4,2,1,1,"Internet")))&gt;1,INDIRECT(ADDRESS(ROW() + $A$9-9 + (ROW()-11)*4,2,1,1,"Internet"))," "))</f>
        <v xml:space="preserve"> </v>
      </c>
      <c r="K110" s="457" t="str">
        <f ca="1">IF(N(I110)&gt;0,VLOOKUP(I110,Hraci!$A$1:$I$1500,3,0)," ")</f>
        <v xml:space="preserve"> </v>
      </c>
      <c r="L110" s="457" t="str">
        <f ca="1">IF(N(I110)&gt;0,VLOOKUP(I110,Hraci!$A$1:$I$1500,5,0),IF(TYPE(INDIRECT(ADDRESS(ROW() + $A$9-9 + (ROW()-11)*4,3,1,1,"Internet")))&gt;1,INDIRECT(ADDRESS(ROW() + $A$9-9 + (ROW()-11)*4,3,1,1,"Internet"))," "))</f>
        <v xml:space="preserve"> </v>
      </c>
      <c r="M110" s="395">
        <f ca="1">IF(N(I110)=0,9999,VLOOKUP(I110,Hraci!$A$1:$I$1500,8,0))</f>
        <v>9999</v>
      </c>
      <c r="N110" s="458">
        <f ca="1">IF(N(I110)=0,0,VLOOKUP(I110,Hraci!$A$1:$I$1500,9,0))</f>
        <v>0</v>
      </c>
      <c r="O110" s="455" t="str">
        <f t="shared" ca="1" si="55"/>
        <v/>
      </c>
      <c r="P110" s="456" t="str">
        <f ca="1">IF(N(O110)&gt;0,VLOOKUP(O110,Hraci!$A$1:$I$1500,2,0),IF(TYPE(INDIRECT(ADDRESS(ROW() + $A$9-8 + (ROW()-11)*4,2,1,1,"Internet")))&gt;1,INDIRECT(ADDRESS(ROW() + $A$9-8 + (ROW()-11)*4,2,1,1,"Internet"))," "))</f>
        <v xml:space="preserve"> </v>
      </c>
      <c r="Q110" s="457" t="str">
        <f ca="1">IF(N(O110)&gt;0,VLOOKUP(O110,Hraci!$A$1:$I$1500,3,0)," ")</f>
        <v xml:space="preserve"> </v>
      </c>
      <c r="R110" s="457" t="str">
        <f ca="1">IF(N(O110)&gt;0,VLOOKUP(O110,Hraci!$A$1:$I$1500,5,0),IF(TYPE(INDIRECT(ADDRESS(ROW() + $A$9-8 + (ROW()-11)*4,3,1,1,"Internet")))&gt;1,INDIRECT(ADDRESS(ROW() + $A$9-8 + (ROW()-11)*4,3,1,1,"Internet"))," "))</f>
        <v xml:space="preserve"> </v>
      </c>
      <c r="S110" s="395">
        <f ca="1">IF(N(O110)=0,9999,VLOOKUP(O110,Hraci!$A$1:$I$1500,8,0))</f>
        <v>9999</v>
      </c>
      <c r="T110" s="458">
        <f ca="1">IF(N(O110)=0,0,VLOOKUP(O110,Hraci!$A$1:$I$1500,9,0))</f>
        <v>0</v>
      </c>
      <c r="U110" s="455" t="str">
        <f t="shared" ca="1" si="56"/>
        <v/>
      </c>
      <c r="V110" s="456" t="str">
        <f ca="1">IF(N(U110)&gt;0,VLOOKUP(U110,Hraci!$A$1:$I$1500,2,0),IF(TYPE(INDIRECT(ADDRESS(ROW() + $A$9-7 + (ROW()-11)*4,2,1,1,"Internet")))&gt;1,INDIRECT(ADDRESS(ROW() + $A$9-7 + (ROW()-11)*4,2,1,1,"Internet"))," "))</f>
        <v xml:space="preserve"> </v>
      </c>
      <c r="W110" s="457" t="str">
        <f ca="1">IF(N(U110)&gt;0,VLOOKUP(U110,Hraci!$A$1:$I$1500,3,0)," ")</f>
        <v xml:space="preserve"> </v>
      </c>
      <c r="X110" s="457" t="str">
        <f ca="1">IF(N(U110)&gt;0,VLOOKUP(U110,Hraci!$A$1:$I$1500,5,0),IF(TYPE(INDIRECT(ADDRESS(ROW() + $A$9-7 + (ROW()-11)*4,3,1,1,"Internet")))&gt;1,INDIRECT(ADDRESS(ROW() + $A$9-7 + (ROW()-11)*4,3,1,1,"Internet"))," "))</f>
        <v xml:space="preserve"> </v>
      </c>
      <c r="Y110" s="395">
        <f ca="1">IF(N(U110)=0,9999,VLOOKUP(U110,Hraci!$A$1:$I$1500,8,0))</f>
        <v>9999</v>
      </c>
      <c r="Z110" s="458">
        <f ca="1">IF(N(U110)=0,0,VLOOKUP(U110,Hraci!$A$1:$I$1500,9,0))</f>
        <v>0</v>
      </c>
      <c r="AA110" s="455" t="str">
        <f t="shared" ca="1" si="57"/>
        <v/>
      </c>
      <c r="AB110" s="456" t="str">
        <f ca="1">IF(N(AA110)&gt;0,VLOOKUP(AA110,Hraci!$A$1:$I$1500,2,0)," ")</f>
        <v xml:space="preserve"> </v>
      </c>
      <c r="AC110" s="457" t="str">
        <f ca="1">IF(N(AA110)&gt;0,VLOOKUP(AA110,Hraci!$A$1:$I$1500,3,0)," ")</f>
        <v xml:space="preserve"> </v>
      </c>
      <c r="AD110" s="457" t="str">
        <f ca="1">IF(N(AA110)&gt;0,VLOOKUP(AA110,Hraci!$A$1:$I$1500,5,0)," ")</f>
        <v xml:space="preserve"> </v>
      </c>
      <c r="AE110" s="395">
        <f ca="1">IF(N(AA110)=0,9999,VLOOKUP(AA110,Hraci!$A$1:$I$1500,8,0))</f>
        <v>9999</v>
      </c>
      <c r="AF110" s="458">
        <f ca="1">IF(N(AA110)=0,0,VLOOKUP(AA110,Hraci!$A$1:$I$1500,9,0))</f>
        <v>0</v>
      </c>
      <c r="AG110" s="459"/>
      <c r="AH110" s="465">
        <f ca="1">IF(TYPE(VLOOKUP(H110,Nasazení!$A$3:$E$130,5,0))&lt;4,VLOOKUP(H110,Nasazení!$A$3:$E$130,5,0),0)</f>
        <v>0</v>
      </c>
      <c r="AI110" s="460" t="str">
        <f ca="1">IF(N($AH110)&gt;0,VLOOKUP($AH110,Body!$A$4:$F$259,5,0),"")</f>
        <v/>
      </c>
      <c r="AJ110" s="461" t="str">
        <f ca="1">IF(N($AH110)&gt;0,VLOOKUP($AH110,Body!$A$4:$F$259,6,0),"")</f>
        <v/>
      </c>
      <c r="AK110" s="460" t="str">
        <f ca="1">IF(N($AH110)&gt;0,VLOOKUP($AH110,Body!$A$4:$F$259,2,0),"")</f>
        <v/>
      </c>
      <c r="AL110" s="462" t="str">
        <f t="shared" ca="1" si="58"/>
        <v/>
      </c>
      <c r="AM110" s="463">
        <f t="shared" ca="1" si="59"/>
        <v>0</v>
      </c>
      <c r="AN110" s="395">
        <f ca="1">IF(OR(TYPE(I110)&gt;1,TYPE(MATCH(I110,I111:I$139,0))&gt;1),0,MATCH(I110,I111:I$139,0))+IF(OR(TYPE(I110)&gt;1,TYPE(MATCH(I110,O$11:O$139,0))&gt;1),0,MATCH(I110,O$11:O$139,0))+IF(OR(TYPE(I110)&gt;1,TYPE(MATCH(I110,U$11:U$139,0))&gt;1),0,MATCH(I110,U$11:U$139,0))+IF(OR(TYPE(I110)&gt;1,TYPE(MATCH(I110,AA$11:AA$139,0))&gt;1),0,MATCH(I110,AA$11:AA$139,0))</f>
        <v>0</v>
      </c>
      <c r="AO110" s="395">
        <f ca="1">IF(OR(TYPE(O110)&gt;1,TYPE(MATCH(O110,I$11:I$139,0))&gt;1),0,MATCH(O110,I$11:I$139,0))+IF(OR(TYPE(O110)&gt;1,TYPE(MATCH(O110,O111:O$139,0))&gt;1),0,MATCH(O110,O111:O$139,0))+IF(OR(TYPE(O110)&gt;1,TYPE(MATCH(O110,U$11:U$139,0))&gt;1),0,MATCH(O110,U$11:U$139,0))+IF(OR(TYPE(O110)&gt;1,TYPE(MATCH(O110,AA$11:AA$139,0))&gt;1),0,MATCH(O110,AA$11:AA$139,0))</f>
        <v>0</v>
      </c>
      <c r="AP110" s="395">
        <f ca="1">IF(OR(TYPE(U110)&gt;1,TYPE(MATCH(U110,I$11:I$139,0))&gt;1),0,MATCH(U110,I$11:I$139,0))+IF(OR(TYPE(U110)&gt;1,TYPE(MATCH(U110,O$11:O$139,0))&gt;1),0,MATCH(U110,O$11:O$139,0))+IF(OR(TYPE(U110)&gt;1,TYPE(MATCH(U110,U111:U$139,0))&gt;1),0,MATCH(U110,U111:U$139,0))+IF(OR(TYPE(U110)&gt;1,TYPE(MATCH(U110,AA$11:AA$139,0))&gt;1),0,MATCH(U110,AA$11:AA$139,0))</f>
        <v>0</v>
      </c>
      <c r="AQ110" s="395">
        <f ca="1">IF(OR(TYPE(AA110)&gt;1,TYPE(MATCH(AA110,I$11:I$139,0))&gt;1),0,MATCH(AA110,I$11:I$139,0))+IF(OR(TYPE(AA110)&gt;1,TYPE(MATCH(AA110,O$11:O$139,0))&gt;1),0,MATCH(AA110,O$11:O$139,0))+IF(OR(TYPE(AA110)&gt;1,TYPE(MATCH(AA110,U$11:U$139,0))&gt;1),0,MATCH(U110,U$11:U$139,0))+IF(OR(TYPE(AA110)&gt;1,TYPE(MATCH(AA110,AA111:AA$139,0))&gt;1),0,MATCH(AA110,AA111:AA$139,0))</f>
        <v>0</v>
      </c>
      <c r="AR110" s="395">
        <f t="shared" ca="1" si="44"/>
        <v>0</v>
      </c>
      <c r="BF110" s="395">
        <f t="shared" si="45"/>
        <v>100</v>
      </c>
    </row>
    <row r="111" spans="1:58" ht="12.9">
      <c r="A111" s="387">
        <f t="shared" ca="1" si="46"/>
        <v>0</v>
      </c>
      <c r="B111" s="387">
        <f t="shared" ca="1" si="47"/>
        <v>0</v>
      </c>
      <c r="C111" s="387">
        <f t="shared" ca="1" si="48"/>
        <v>0</v>
      </c>
      <c r="D111" s="387">
        <f t="shared" ca="1" si="49"/>
        <v>99999</v>
      </c>
      <c r="E111" s="387">
        <f t="shared" ca="1" si="50"/>
        <v>9999</v>
      </c>
      <c r="F111" s="417" t="str">
        <f t="shared" ca="1" si="51"/>
        <v>00000000000000000000878482</v>
      </c>
      <c r="G111" s="453" t="b">
        <f t="shared" ca="1" si="52"/>
        <v>1</v>
      </c>
      <c r="H111" s="454">
        <f t="shared" si="53"/>
        <v>101</v>
      </c>
      <c r="I111" s="455" t="str">
        <f t="shared" ca="1" si="54"/>
        <v/>
      </c>
      <c r="J111" s="456" t="str">
        <f ca="1">IF(N(I111)&gt;0,VLOOKUP(I111,Hraci!$A$1:$I$1500,2,0),IF(TYPE(INDIRECT(ADDRESS(ROW() + $A$9-9 + (ROW()-11)*4,2,1,1,"Internet")))&gt;1,INDIRECT(ADDRESS(ROW() + $A$9-9 + (ROW()-11)*4,2,1,1,"Internet"))," "))</f>
        <v xml:space="preserve"> </v>
      </c>
      <c r="K111" s="457" t="str">
        <f ca="1">IF(N(I111)&gt;0,VLOOKUP(I111,Hraci!$A$1:$I$1500,3,0)," ")</f>
        <v xml:space="preserve"> </v>
      </c>
      <c r="L111" s="457" t="str">
        <f ca="1">IF(N(I111)&gt;0,VLOOKUP(I111,Hraci!$A$1:$I$1500,5,0),IF(TYPE(INDIRECT(ADDRESS(ROW() + $A$9-9 + (ROW()-11)*4,3,1,1,"Internet")))&gt;1,INDIRECT(ADDRESS(ROW() + $A$9-9 + (ROW()-11)*4,3,1,1,"Internet"))," "))</f>
        <v xml:space="preserve"> </v>
      </c>
      <c r="M111" s="395">
        <f ca="1">IF(N(I111)=0,9999,VLOOKUP(I111,Hraci!$A$1:$I$1500,8,0))</f>
        <v>9999</v>
      </c>
      <c r="N111" s="458">
        <f ca="1">IF(N(I111)=0,0,VLOOKUP(I111,Hraci!$A$1:$I$1500,9,0))</f>
        <v>0</v>
      </c>
      <c r="O111" s="455" t="str">
        <f t="shared" ca="1" si="55"/>
        <v/>
      </c>
      <c r="P111" s="456" t="str">
        <f ca="1">IF(N(O111)&gt;0,VLOOKUP(O111,Hraci!$A$1:$I$1500,2,0),IF(TYPE(INDIRECT(ADDRESS(ROW() + $A$9-8 + (ROW()-11)*4,2,1,1,"Internet")))&gt;1,INDIRECT(ADDRESS(ROW() + $A$9-8 + (ROW()-11)*4,2,1,1,"Internet"))," "))</f>
        <v xml:space="preserve"> </v>
      </c>
      <c r="Q111" s="457" t="str">
        <f ca="1">IF(N(O111)&gt;0,VLOOKUP(O111,Hraci!$A$1:$I$1500,3,0)," ")</f>
        <v xml:space="preserve"> </v>
      </c>
      <c r="R111" s="457" t="str">
        <f ca="1">IF(N(O111)&gt;0,VLOOKUP(O111,Hraci!$A$1:$I$1500,5,0),IF(TYPE(INDIRECT(ADDRESS(ROW() + $A$9-8 + (ROW()-11)*4,3,1,1,"Internet")))&gt;1,INDIRECT(ADDRESS(ROW() + $A$9-8 + (ROW()-11)*4,3,1,1,"Internet"))," "))</f>
        <v xml:space="preserve"> </v>
      </c>
      <c r="S111" s="395">
        <f ca="1">IF(N(O111)=0,9999,VLOOKUP(O111,Hraci!$A$1:$I$1500,8,0))</f>
        <v>9999</v>
      </c>
      <c r="T111" s="458">
        <f ca="1">IF(N(O111)=0,0,VLOOKUP(O111,Hraci!$A$1:$I$1500,9,0))</f>
        <v>0</v>
      </c>
      <c r="U111" s="455" t="str">
        <f t="shared" ca="1" si="56"/>
        <v/>
      </c>
      <c r="V111" s="456" t="str">
        <f ca="1">IF(N(U111)&gt;0,VLOOKUP(U111,Hraci!$A$1:$I$1500,2,0),IF(TYPE(INDIRECT(ADDRESS(ROW() + $A$9-7 + (ROW()-11)*4,2,1,1,"Internet")))&gt;1,INDIRECT(ADDRESS(ROW() + $A$9-7 + (ROW()-11)*4,2,1,1,"Internet"))," "))</f>
        <v xml:space="preserve"> </v>
      </c>
      <c r="W111" s="457" t="str">
        <f ca="1">IF(N(U111)&gt;0,VLOOKUP(U111,Hraci!$A$1:$I$1500,3,0)," ")</f>
        <v xml:space="preserve"> </v>
      </c>
      <c r="X111" s="457" t="str">
        <f ca="1">IF(N(U111)&gt;0,VLOOKUP(U111,Hraci!$A$1:$I$1500,5,0),IF(TYPE(INDIRECT(ADDRESS(ROW() + $A$9-7 + (ROW()-11)*4,3,1,1,"Internet")))&gt;1,INDIRECT(ADDRESS(ROW() + $A$9-7 + (ROW()-11)*4,3,1,1,"Internet"))," "))</f>
        <v xml:space="preserve"> </v>
      </c>
      <c r="Y111" s="395">
        <f ca="1">IF(N(U111)=0,9999,VLOOKUP(U111,Hraci!$A$1:$I$1500,8,0))</f>
        <v>9999</v>
      </c>
      <c r="Z111" s="458">
        <f ca="1">IF(N(U111)=0,0,VLOOKUP(U111,Hraci!$A$1:$I$1500,9,0))</f>
        <v>0</v>
      </c>
      <c r="AA111" s="455" t="str">
        <f t="shared" ca="1" si="57"/>
        <v/>
      </c>
      <c r="AB111" s="456" t="str">
        <f ca="1">IF(N(AA111)&gt;0,VLOOKUP(AA111,Hraci!$A$1:$I$1500,2,0)," ")</f>
        <v xml:space="preserve"> </v>
      </c>
      <c r="AC111" s="457" t="str">
        <f ca="1">IF(N(AA111)&gt;0,VLOOKUP(AA111,Hraci!$A$1:$I$1500,3,0)," ")</f>
        <v xml:space="preserve"> </v>
      </c>
      <c r="AD111" s="457" t="str">
        <f ca="1">IF(N(AA111)&gt;0,VLOOKUP(AA111,Hraci!$A$1:$I$1500,5,0)," ")</f>
        <v xml:space="preserve"> </v>
      </c>
      <c r="AE111" s="395">
        <f ca="1">IF(N(AA111)=0,9999,VLOOKUP(AA111,Hraci!$A$1:$I$1500,8,0))</f>
        <v>9999</v>
      </c>
      <c r="AF111" s="458">
        <f ca="1">IF(N(AA111)=0,0,VLOOKUP(AA111,Hraci!$A$1:$I$1500,9,0))</f>
        <v>0</v>
      </c>
      <c r="AG111" s="459"/>
      <c r="AH111" s="465">
        <f ca="1">IF(TYPE(VLOOKUP(H111,Nasazení!$A$3:$E$130,5,0))&lt;4,VLOOKUP(H111,Nasazení!$A$3:$E$130,5,0),0)</f>
        <v>0</v>
      </c>
      <c r="AI111" s="460" t="str">
        <f ca="1">IF(N($AH111)&gt;0,VLOOKUP($AH111,Body!$A$4:$F$259,5,0),"")</f>
        <v/>
      </c>
      <c r="AJ111" s="461" t="str">
        <f ca="1">IF(N($AH111)&gt;0,VLOOKUP($AH111,Body!$A$4:$F$259,6,0),"")</f>
        <v/>
      </c>
      <c r="AK111" s="460" t="str">
        <f ca="1">IF(N($AH111)&gt;0,VLOOKUP($AH111,Body!$A$4:$F$259,2,0),"")</f>
        <v/>
      </c>
      <c r="AL111" s="462" t="str">
        <f t="shared" ca="1" si="58"/>
        <v/>
      </c>
      <c r="AM111" s="463">
        <f t="shared" ca="1" si="59"/>
        <v>0</v>
      </c>
      <c r="AN111" s="395">
        <f ca="1">IF(OR(TYPE(I111)&gt;1,TYPE(MATCH(I111,I112:I$139,0))&gt;1),0,MATCH(I111,I112:I$139,0))+IF(OR(TYPE(I111)&gt;1,TYPE(MATCH(I111,O$11:O$139,0))&gt;1),0,MATCH(I111,O$11:O$139,0))+IF(OR(TYPE(I111)&gt;1,TYPE(MATCH(I111,U$11:U$139,0))&gt;1),0,MATCH(I111,U$11:U$139,0))+IF(OR(TYPE(I111)&gt;1,TYPE(MATCH(I111,AA$11:AA$139,0))&gt;1),0,MATCH(I111,AA$11:AA$139,0))</f>
        <v>0</v>
      </c>
      <c r="AO111" s="395">
        <f ca="1">IF(OR(TYPE(O111)&gt;1,TYPE(MATCH(O111,I$11:I$139,0))&gt;1),0,MATCH(O111,I$11:I$139,0))+IF(OR(TYPE(O111)&gt;1,TYPE(MATCH(O111,O112:O$139,0))&gt;1),0,MATCH(O111,O112:O$139,0))+IF(OR(TYPE(O111)&gt;1,TYPE(MATCH(O111,U$11:U$139,0))&gt;1),0,MATCH(O111,U$11:U$139,0))+IF(OR(TYPE(O111)&gt;1,TYPE(MATCH(O111,AA$11:AA$139,0))&gt;1),0,MATCH(O111,AA$11:AA$139,0))</f>
        <v>0</v>
      </c>
      <c r="AP111" s="395">
        <f ca="1">IF(OR(TYPE(U111)&gt;1,TYPE(MATCH(U111,I$11:I$139,0))&gt;1),0,MATCH(U111,I$11:I$139,0))+IF(OR(TYPE(U111)&gt;1,TYPE(MATCH(U111,O$11:O$139,0))&gt;1),0,MATCH(U111,O$11:O$139,0))+IF(OR(TYPE(U111)&gt;1,TYPE(MATCH(U111,U112:U$139,0))&gt;1),0,MATCH(U111,U112:U$139,0))+IF(OR(TYPE(U111)&gt;1,TYPE(MATCH(U111,AA$11:AA$139,0))&gt;1),0,MATCH(U111,AA$11:AA$139,0))</f>
        <v>0</v>
      </c>
      <c r="AQ111" s="395">
        <f ca="1">IF(OR(TYPE(AA111)&gt;1,TYPE(MATCH(AA111,I$11:I$139,0))&gt;1),0,MATCH(AA111,I$11:I$139,0))+IF(OR(TYPE(AA111)&gt;1,TYPE(MATCH(AA111,O$11:O$139,0))&gt;1),0,MATCH(AA111,O$11:O$139,0))+IF(OR(TYPE(AA111)&gt;1,TYPE(MATCH(AA111,U$11:U$139,0))&gt;1),0,MATCH(U111,U$11:U$139,0))+IF(OR(TYPE(AA111)&gt;1,TYPE(MATCH(AA111,AA112:AA$139,0))&gt;1),0,MATCH(AA111,AA112:AA$139,0))</f>
        <v>0</v>
      </c>
      <c r="AR111" s="395">
        <f t="shared" ca="1" si="44"/>
        <v>0</v>
      </c>
      <c r="BF111" s="395">
        <f t="shared" si="45"/>
        <v>101</v>
      </c>
    </row>
    <row r="112" spans="1:58" ht="12.9">
      <c r="A112" s="387">
        <f t="shared" ca="1" si="46"/>
        <v>0</v>
      </c>
      <c r="B112" s="387">
        <f t="shared" ca="1" si="47"/>
        <v>0</v>
      </c>
      <c r="C112" s="387">
        <f t="shared" ca="1" si="48"/>
        <v>0</v>
      </c>
      <c r="D112" s="387">
        <f t="shared" ca="1" si="49"/>
        <v>99999</v>
      </c>
      <c r="E112" s="387">
        <f t="shared" ca="1" si="50"/>
        <v>9999</v>
      </c>
      <c r="F112" s="417" t="str">
        <f t="shared" ca="1" si="51"/>
        <v>00000000000000000000480344</v>
      </c>
      <c r="G112" s="453" t="b">
        <f t="shared" ca="1" si="52"/>
        <v>1</v>
      </c>
      <c r="H112" s="454">
        <f t="shared" si="53"/>
        <v>102</v>
      </c>
      <c r="I112" s="455" t="str">
        <f t="shared" ca="1" si="54"/>
        <v/>
      </c>
      <c r="J112" s="456" t="str">
        <f ca="1">IF(N(I112)&gt;0,VLOOKUP(I112,Hraci!$A$1:$I$1500,2,0),IF(TYPE(INDIRECT(ADDRESS(ROW() + $A$9-9 + (ROW()-11)*4,2,1,1,"Internet")))&gt;1,INDIRECT(ADDRESS(ROW() + $A$9-9 + (ROW()-11)*4,2,1,1,"Internet"))," "))</f>
        <v xml:space="preserve"> </v>
      </c>
      <c r="K112" s="457" t="str">
        <f ca="1">IF(N(I112)&gt;0,VLOOKUP(I112,Hraci!$A$1:$I$1500,3,0)," ")</f>
        <v xml:space="preserve"> </v>
      </c>
      <c r="L112" s="457" t="str">
        <f ca="1">IF(N(I112)&gt;0,VLOOKUP(I112,Hraci!$A$1:$I$1500,5,0),IF(TYPE(INDIRECT(ADDRESS(ROW() + $A$9-9 + (ROW()-11)*4,3,1,1,"Internet")))&gt;1,INDIRECT(ADDRESS(ROW() + $A$9-9 + (ROW()-11)*4,3,1,1,"Internet"))," "))</f>
        <v xml:space="preserve"> </v>
      </c>
      <c r="M112" s="395">
        <f ca="1">IF(N(I112)=0,9999,VLOOKUP(I112,Hraci!$A$1:$I$1500,8,0))</f>
        <v>9999</v>
      </c>
      <c r="N112" s="458">
        <f ca="1">IF(N(I112)=0,0,VLOOKUP(I112,Hraci!$A$1:$I$1500,9,0))</f>
        <v>0</v>
      </c>
      <c r="O112" s="455" t="str">
        <f t="shared" ca="1" si="55"/>
        <v/>
      </c>
      <c r="P112" s="456" t="str">
        <f ca="1">IF(N(O112)&gt;0,VLOOKUP(O112,Hraci!$A$1:$I$1500,2,0),IF(TYPE(INDIRECT(ADDRESS(ROW() + $A$9-8 + (ROW()-11)*4,2,1,1,"Internet")))&gt;1,INDIRECT(ADDRESS(ROW() + $A$9-8 + (ROW()-11)*4,2,1,1,"Internet"))," "))</f>
        <v xml:space="preserve"> </v>
      </c>
      <c r="Q112" s="457" t="str">
        <f ca="1">IF(N(O112)&gt;0,VLOOKUP(O112,Hraci!$A$1:$I$1500,3,0)," ")</f>
        <v xml:space="preserve"> </v>
      </c>
      <c r="R112" s="457" t="str">
        <f ca="1">IF(N(O112)&gt;0,VLOOKUP(O112,Hraci!$A$1:$I$1500,5,0),IF(TYPE(INDIRECT(ADDRESS(ROW() + $A$9-8 + (ROW()-11)*4,3,1,1,"Internet")))&gt;1,INDIRECT(ADDRESS(ROW() + $A$9-8 + (ROW()-11)*4,3,1,1,"Internet"))," "))</f>
        <v xml:space="preserve"> </v>
      </c>
      <c r="S112" s="395">
        <f ca="1">IF(N(O112)=0,9999,VLOOKUP(O112,Hraci!$A$1:$I$1500,8,0))</f>
        <v>9999</v>
      </c>
      <c r="T112" s="458">
        <f ca="1">IF(N(O112)=0,0,VLOOKUP(O112,Hraci!$A$1:$I$1500,9,0))</f>
        <v>0</v>
      </c>
      <c r="U112" s="455" t="str">
        <f t="shared" ca="1" si="56"/>
        <v/>
      </c>
      <c r="V112" s="456" t="str">
        <f ca="1">IF(N(U112)&gt;0,VLOOKUP(U112,Hraci!$A$1:$I$1500,2,0),IF(TYPE(INDIRECT(ADDRESS(ROW() + $A$9-7 + (ROW()-11)*4,2,1,1,"Internet")))&gt;1,INDIRECT(ADDRESS(ROW() + $A$9-7 + (ROW()-11)*4,2,1,1,"Internet"))," "))</f>
        <v xml:space="preserve"> </v>
      </c>
      <c r="W112" s="457" t="str">
        <f ca="1">IF(N(U112)&gt;0,VLOOKUP(U112,Hraci!$A$1:$I$1500,3,0)," ")</f>
        <v xml:space="preserve"> </v>
      </c>
      <c r="X112" s="457" t="str">
        <f ca="1">IF(N(U112)&gt;0,VLOOKUP(U112,Hraci!$A$1:$I$1500,5,0),IF(TYPE(INDIRECT(ADDRESS(ROW() + $A$9-7 + (ROW()-11)*4,3,1,1,"Internet")))&gt;1,INDIRECT(ADDRESS(ROW() + $A$9-7 + (ROW()-11)*4,3,1,1,"Internet"))," "))</f>
        <v xml:space="preserve"> </v>
      </c>
      <c r="Y112" s="395">
        <f ca="1">IF(N(U112)=0,9999,VLOOKUP(U112,Hraci!$A$1:$I$1500,8,0))</f>
        <v>9999</v>
      </c>
      <c r="Z112" s="458">
        <f ca="1">IF(N(U112)=0,0,VLOOKUP(U112,Hraci!$A$1:$I$1500,9,0))</f>
        <v>0</v>
      </c>
      <c r="AA112" s="455" t="str">
        <f t="shared" ca="1" si="57"/>
        <v/>
      </c>
      <c r="AB112" s="456" t="str">
        <f ca="1">IF(N(AA112)&gt;0,VLOOKUP(AA112,Hraci!$A$1:$I$1500,2,0)," ")</f>
        <v xml:space="preserve"> </v>
      </c>
      <c r="AC112" s="457" t="str">
        <f ca="1">IF(N(AA112)&gt;0,VLOOKUP(AA112,Hraci!$A$1:$I$1500,3,0)," ")</f>
        <v xml:space="preserve"> </v>
      </c>
      <c r="AD112" s="457" t="str">
        <f ca="1">IF(N(AA112)&gt;0,VLOOKUP(AA112,Hraci!$A$1:$I$1500,5,0)," ")</f>
        <v xml:space="preserve"> </v>
      </c>
      <c r="AE112" s="395">
        <f ca="1">IF(N(AA112)=0,9999,VLOOKUP(AA112,Hraci!$A$1:$I$1500,8,0))</f>
        <v>9999</v>
      </c>
      <c r="AF112" s="458">
        <f ca="1">IF(N(AA112)=0,0,VLOOKUP(AA112,Hraci!$A$1:$I$1500,9,0))</f>
        <v>0</v>
      </c>
      <c r="AG112" s="459"/>
      <c r="AH112" s="465">
        <f ca="1">IF(TYPE(VLOOKUP(H112,Nasazení!$A$3:$E$130,5,0))&lt;4,VLOOKUP(H112,Nasazení!$A$3:$E$130,5,0),0)</f>
        <v>0</v>
      </c>
      <c r="AI112" s="460" t="str">
        <f ca="1">IF(N($AH112)&gt;0,VLOOKUP($AH112,Body!$A$4:$F$259,5,0),"")</f>
        <v/>
      </c>
      <c r="AJ112" s="461" t="str">
        <f ca="1">IF(N($AH112)&gt;0,VLOOKUP($AH112,Body!$A$4:$F$259,6,0),"")</f>
        <v/>
      </c>
      <c r="AK112" s="460" t="str">
        <f ca="1">IF(N($AH112)&gt;0,VLOOKUP($AH112,Body!$A$4:$F$259,2,0),"")</f>
        <v/>
      </c>
      <c r="AL112" s="462" t="str">
        <f t="shared" ca="1" si="58"/>
        <v/>
      </c>
      <c r="AM112" s="463">
        <f t="shared" ca="1" si="59"/>
        <v>0</v>
      </c>
      <c r="AN112" s="395">
        <f ca="1">IF(OR(TYPE(I112)&gt;1,TYPE(MATCH(I112,I113:I$139,0))&gt;1),0,MATCH(I112,I113:I$139,0))+IF(OR(TYPE(I112)&gt;1,TYPE(MATCH(I112,O$11:O$139,0))&gt;1),0,MATCH(I112,O$11:O$139,0))+IF(OR(TYPE(I112)&gt;1,TYPE(MATCH(I112,U$11:U$139,0))&gt;1),0,MATCH(I112,U$11:U$139,0))+IF(OR(TYPE(I112)&gt;1,TYPE(MATCH(I112,AA$11:AA$139,0))&gt;1),0,MATCH(I112,AA$11:AA$139,0))</f>
        <v>0</v>
      </c>
      <c r="AO112" s="395">
        <f ca="1">IF(OR(TYPE(O112)&gt;1,TYPE(MATCH(O112,I$11:I$139,0))&gt;1),0,MATCH(O112,I$11:I$139,0))+IF(OR(TYPE(O112)&gt;1,TYPE(MATCH(O112,O113:O$139,0))&gt;1),0,MATCH(O112,O113:O$139,0))+IF(OR(TYPE(O112)&gt;1,TYPE(MATCH(O112,U$11:U$139,0))&gt;1),0,MATCH(O112,U$11:U$139,0))+IF(OR(TYPE(O112)&gt;1,TYPE(MATCH(O112,AA$11:AA$139,0))&gt;1),0,MATCH(O112,AA$11:AA$139,0))</f>
        <v>0</v>
      </c>
      <c r="AP112" s="395">
        <f ca="1">IF(OR(TYPE(U112)&gt;1,TYPE(MATCH(U112,I$11:I$139,0))&gt;1),0,MATCH(U112,I$11:I$139,0))+IF(OR(TYPE(U112)&gt;1,TYPE(MATCH(U112,O$11:O$139,0))&gt;1),0,MATCH(U112,O$11:O$139,0))+IF(OR(TYPE(U112)&gt;1,TYPE(MATCH(U112,U113:U$139,0))&gt;1),0,MATCH(U112,U113:U$139,0))+IF(OR(TYPE(U112)&gt;1,TYPE(MATCH(U112,AA$11:AA$139,0))&gt;1),0,MATCH(U112,AA$11:AA$139,0))</f>
        <v>0</v>
      </c>
      <c r="AQ112" s="395">
        <f ca="1">IF(OR(TYPE(AA112)&gt;1,TYPE(MATCH(AA112,I$11:I$139,0))&gt;1),0,MATCH(AA112,I$11:I$139,0))+IF(OR(TYPE(AA112)&gt;1,TYPE(MATCH(AA112,O$11:O$139,0))&gt;1),0,MATCH(AA112,O$11:O$139,0))+IF(OR(TYPE(AA112)&gt;1,TYPE(MATCH(AA112,U$11:U$139,0))&gt;1),0,MATCH(U112,U$11:U$139,0))+IF(OR(TYPE(AA112)&gt;1,TYPE(MATCH(AA112,AA113:AA$139,0))&gt;1),0,MATCH(AA112,AA113:AA$139,0))</f>
        <v>0</v>
      </c>
      <c r="AR112" s="395">
        <f t="shared" ca="1" si="44"/>
        <v>0</v>
      </c>
      <c r="BF112" s="395">
        <f t="shared" si="45"/>
        <v>102</v>
      </c>
    </row>
    <row r="113" spans="1:58" ht="12.9">
      <c r="A113" s="387">
        <f t="shared" ca="1" si="46"/>
        <v>0</v>
      </c>
      <c r="B113" s="387">
        <f t="shared" ca="1" si="47"/>
        <v>0</v>
      </c>
      <c r="C113" s="387">
        <f t="shared" ca="1" si="48"/>
        <v>0</v>
      </c>
      <c r="D113" s="387">
        <f t="shared" ca="1" si="49"/>
        <v>99999</v>
      </c>
      <c r="E113" s="387">
        <f t="shared" ca="1" si="50"/>
        <v>9999</v>
      </c>
      <c r="F113" s="417" t="str">
        <f t="shared" ca="1" si="51"/>
        <v>00000000000000000000197323</v>
      </c>
      <c r="G113" s="453" t="b">
        <f t="shared" ca="1" si="52"/>
        <v>1</v>
      </c>
      <c r="H113" s="454">
        <f t="shared" si="53"/>
        <v>103</v>
      </c>
      <c r="I113" s="455" t="str">
        <f t="shared" ca="1" si="54"/>
        <v/>
      </c>
      <c r="J113" s="456" t="str">
        <f ca="1">IF(N(I113)&gt;0,VLOOKUP(I113,Hraci!$A$1:$I$1500,2,0),IF(TYPE(INDIRECT(ADDRESS(ROW() + $A$9-9 + (ROW()-11)*4,2,1,1,"Internet")))&gt;1,INDIRECT(ADDRESS(ROW() + $A$9-9 + (ROW()-11)*4,2,1,1,"Internet"))," "))</f>
        <v xml:space="preserve"> </v>
      </c>
      <c r="K113" s="457" t="str">
        <f ca="1">IF(N(I113)&gt;0,VLOOKUP(I113,Hraci!$A$1:$I$1500,3,0)," ")</f>
        <v xml:space="preserve"> </v>
      </c>
      <c r="L113" s="457" t="str">
        <f ca="1">IF(N(I113)&gt;0,VLOOKUP(I113,Hraci!$A$1:$I$1500,5,0),IF(TYPE(INDIRECT(ADDRESS(ROW() + $A$9-9 + (ROW()-11)*4,3,1,1,"Internet")))&gt;1,INDIRECT(ADDRESS(ROW() + $A$9-9 + (ROW()-11)*4,3,1,1,"Internet"))," "))</f>
        <v xml:space="preserve"> </v>
      </c>
      <c r="M113" s="395">
        <f ca="1">IF(N(I113)=0,9999,VLOOKUP(I113,Hraci!$A$1:$I$1500,8,0))</f>
        <v>9999</v>
      </c>
      <c r="N113" s="458">
        <f ca="1">IF(N(I113)=0,0,VLOOKUP(I113,Hraci!$A$1:$I$1500,9,0))</f>
        <v>0</v>
      </c>
      <c r="O113" s="455" t="str">
        <f t="shared" ca="1" si="55"/>
        <v/>
      </c>
      <c r="P113" s="456" t="str">
        <f ca="1">IF(N(O113)&gt;0,VLOOKUP(O113,Hraci!$A$1:$I$1500,2,0),IF(TYPE(INDIRECT(ADDRESS(ROW() + $A$9-8 + (ROW()-11)*4,2,1,1,"Internet")))&gt;1,INDIRECT(ADDRESS(ROW() + $A$9-8 + (ROW()-11)*4,2,1,1,"Internet"))," "))</f>
        <v xml:space="preserve"> </v>
      </c>
      <c r="Q113" s="457" t="str">
        <f ca="1">IF(N(O113)&gt;0,VLOOKUP(O113,Hraci!$A$1:$I$1500,3,0)," ")</f>
        <v xml:space="preserve"> </v>
      </c>
      <c r="R113" s="457" t="str">
        <f ca="1">IF(N(O113)&gt;0,VLOOKUP(O113,Hraci!$A$1:$I$1500,5,0),IF(TYPE(INDIRECT(ADDRESS(ROW() + $A$9-8 + (ROW()-11)*4,3,1,1,"Internet")))&gt;1,INDIRECT(ADDRESS(ROW() + $A$9-8 + (ROW()-11)*4,3,1,1,"Internet"))," "))</f>
        <v xml:space="preserve"> </v>
      </c>
      <c r="S113" s="395">
        <f ca="1">IF(N(O113)=0,9999,VLOOKUP(O113,Hraci!$A$1:$I$1500,8,0))</f>
        <v>9999</v>
      </c>
      <c r="T113" s="458">
        <f ca="1">IF(N(O113)=0,0,VLOOKUP(O113,Hraci!$A$1:$I$1500,9,0))</f>
        <v>0</v>
      </c>
      <c r="U113" s="455" t="str">
        <f t="shared" ca="1" si="56"/>
        <v/>
      </c>
      <c r="V113" s="456" t="str">
        <f ca="1">IF(N(U113)&gt;0,VLOOKUP(U113,Hraci!$A$1:$I$1500,2,0),IF(TYPE(INDIRECT(ADDRESS(ROW() + $A$9-7 + (ROW()-11)*4,2,1,1,"Internet")))&gt;1,INDIRECT(ADDRESS(ROW() + $A$9-7 + (ROW()-11)*4,2,1,1,"Internet"))," "))</f>
        <v xml:space="preserve"> </v>
      </c>
      <c r="W113" s="457" t="str">
        <f ca="1">IF(N(U113)&gt;0,VLOOKUP(U113,Hraci!$A$1:$I$1500,3,0)," ")</f>
        <v xml:space="preserve"> </v>
      </c>
      <c r="X113" s="457" t="str">
        <f ca="1">IF(N(U113)&gt;0,VLOOKUP(U113,Hraci!$A$1:$I$1500,5,0),IF(TYPE(INDIRECT(ADDRESS(ROW() + $A$9-7 + (ROW()-11)*4,3,1,1,"Internet")))&gt;1,INDIRECT(ADDRESS(ROW() + $A$9-7 + (ROW()-11)*4,3,1,1,"Internet"))," "))</f>
        <v xml:space="preserve"> </v>
      </c>
      <c r="Y113" s="395">
        <f ca="1">IF(N(U113)=0,9999,VLOOKUP(U113,Hraci!$A$1:$I$1500,8,0))</f>
        <v>9999</v>
      </c>
      <c r="Z113" s="458">
        <f ca="1">IF(N(U113)=0,0,VLOOKUP(U113,Hraci!$A$1:$I$1500,9,0))</f>
        <v>0</v>
      </c>
      <c r="AA113" s="455" t="str">
        <f t="shared" ca="1" si="57"/>
        <v/>
      </c>
      <c r="AB113" s="456" t="str">
        <f ca="1">IF(N(AA113)&gt;0,VLOOKUP(AA113,Hraci!$A$1:$I$1500,2,0)," ")</f>
        <v xml:space="preserve"> </v>
      </c>
      <c r="AC113" s="457" t="str">
        <f ca="1">IF(N(AA113)&gt;0,VLOOKUP(AA113,Hraci!$A$1:$I$1500,3,0)," ")</f>
        <v xml:space="preserve"> </v>
      </c>
      <c r="AD113" s="457" t="str">
        <f ca="1">IF(N(AA113)&gt;0,VLOOKUP(AA113,Hraci!$A$1:$I$1500,5,0)," ")</f>
        <v xml:space="preserve"> </v>
      </c>
      <c r="AE113" s="395">
        <f ca="1">IF(N(AA113)=0,9999,VLOOKUP(AA113,Hraci!$A$1:$I$1500,8,0))</f>
        <v>9999</v>
      </c>
      <c r="AF113" s="458">
        <f ca="1">IF(N(AA113)=0,0,VLOOKUP(AA113,Hraci!$A$1:$I$1500,9,0))</f>
        <v>0</v>
      </c>
      <c r="AG113" s="459"/>
      <c r="AH113" s="465">
        <f ca="1">IF(TYPE(VLOOKUP(H113,Nasazení!$A$3:$E$130,5,0))&lt;4,VLOOKUP(H113,Nasazení!$A$3:$E$130,5,0),0)</f>
        <v>0</v>
      </c>
      <c r="AI113" s="460" t="str">
        <f ca="1">IF(N($AH113)&gt;0,VLOOKUP($AH113,Body!$A$4:$F$259,5,0),"")</f>
        <v/>
      </c>
      <c r="AJ113" s="461" t="str">
        <f ca="1">IF(N($AH113)&gt;0,VLOOKUP($AH113,Body!$A$4:$F$259,6,0),"")</f>
        <v/>
      </c>
      <c r="AK113" s="460" t="str">
        <f ca="1">IF(N($AH113)&gt;0,VLOOKUP($AH113,Body!$A$4:$F$259,2,0),"")</f>
        <v/>
      </c>
      <c r="AL113" s="462" t="str">
        <f t="shared" ca="1" si="58"/>
        <v/>
      </c>
      <c r="AM113" s="463">
        <f t="shared" ca="1" si="59"/>
        <v>0</v>
      </c>
      <c r="AN113" s="395">
        <f ca="1">IF(OR(TYPE(I113)&gt;1,TYPE(MATCH(I113,I114:I$139,0))&gt;1),0,MATCH(I113,I114:I$139,0))+IF(OR(TYPE(I113)&gt;1,TYPE(MATCH(I113,O$11:O$139,0))&gt;1),0,MATCH(I113,O$11:O$139,0))+IF(OR(TYPE(I113)&gt;1,TYPE(MATCH(I113,U$11:U$139,0))&gt;1),0,MATCH(I113,U$11:U$139,0))+IF(OR(TYPE(I113)&gt;1,TYPE(MATCH(I113,AA$11:AA$139,0))&gt;1),0,MATCH(I113,AA$11:AA$139,0))</f>
        <v>0</v>
      </c>
      <c r="AO113" s="395">
        <f ca="1">IF(OR(TYPE(O113)&gt;1,TYPE(MATCH(O113,I$11:I$139,0))&gt;1),0,MATCH(O113,I$11:I$139,0))+IF(OR(TYPE(O113)&gt;1,TYPE(MATCH(O113,O114:O$139,0))&gt;1),0,MATCH(O113,O114:O$139,0))+IF(OR(TYPE(O113)&gt;1,TYPE(MATCH(O113,U$11:U$139,0))&gt;1),0,MATCH(O113,U$11:U$139,0))+IF(OR(TYPE(O113)&gt;1,TYPE(MATCH(O113,AA$11:AA$139,0))&gt;1),0,MATCH(O113,AA$11:AA$139,0))</f>
        <v>0</v>
      </c>
      <c r="AP113" s="395">
        <f ca="1">IF(OR(TYPE(U113)&gt;1,TYPE(MATCH(U113,I$11:I$139,0))&gt;1),0,MATCH(U113,I$11:I$139,0))+IF(OR(TYPE(U113)&gt;1,TYPE(MATCH(U113,O$11:O$139,0))&gt;1),0,MATCH(U113,O$11:O$139,0))+IF(OR(TYPE(U113)&gt;1,TYPE(MATCH(U113,U114:U$139,0))&gt;1),0,MATCH(U113,U114:U$139,0))+IF(OR(TYPE(U113)&gt;1,TYPE(MATCH(U113,AA$11:AA$139,0))&gt;1),0,MATCH(U113,AA$11:AA$139,0))</f>
        <v>0</v>
      </c>
      <c r="AQ113" s="395">
        <f ca="1">IF(OR(TYPE(AA113)&gt;1,TYPE(MATCH(AA113,I$11:I$139,0))&gt;1),0,MATCH(AA113,I$11:I$139,0))+IF(OR(TYPE(AA113)&gt;1,TYPE(MATCH(AA113,O$11:O$139,0))&gt;1),0,MATCH(AA113,O$11:O$139,0))+IF(OR(TYPE(AA113)&gt;1,TYPE(MATCH(AA113,U$11:U$139,0))&gt;1),0,MATCH(U113,U$11:U$139,0))+IF(OR(TYPE(AA113)&gt;1,TYPE(MATCH(AA113,AA114:AA$139,0))&gt;1),0,MATCH(AA113,AA114:AA$139,0))</f>
        <v>0</v>
      </c>
      <c r="AR113" s="395">
        <f t="shared" ca="1" si="44"/>
        <v>0</v>
      </c>
      <c r="BF113" s="395">
        <f t="shared" si="45"/>
        <v>103</v>
      </c>
    </row>
    <row r="114" spans="1:58" ht="12.9">
      <c r="A114" s="387">
        <f t="shared" ca="1" si="46"/>
        <v>0</v>
      </c>
      <c r="B114" s="387">
        <f t="shared" ca="1" si="47"/>
        <v>0</v>
      </c>
      <c r="C114" s="387">
        <f t="shared" ca="1" si="48"/>
        <v>0</v>
      </c>
      <c r="D114" s="387">
        <f t="shared" ca="1" si="49"/>
        <v>99999</v>
      </c>
      <c r="E114" s="387">
        <f t="shared" ca="1" si="50"/>
        <v>9999</v>
      </c>
      <c r="F114" s="417" t="str">
        <f t="shared" ca="1" si="51"/>
        <v>00000000000000000000325101</v>
      </c>
      <c r="G114" s="453" t="b">
        <f t="shared" ca="1" si="52"/>
        <v>1</v>
      </c>
      <c r="H114" s="454">
        <f t="shared" si="53"/>
        <v>104</v>
      </c>
      <c r="I114" s="455" t="str">
        <f t="shared" ca="1" si="54"/>
        <v/>
      </c>
      <c r="J114" s="456" t="str">
        <f ca="1">IF(N(I114)&gt;0,VLOOKUP(I114,Hraci!$A$1:$I$1500,2,0),IF(TYPE(INDIRECT(ADDRESS(ROW() + $A$9-9 + (ROW()-11)*4,2,1,1,"Internet")))&gt;1,INDIRECT(ADDRESS(ROW() + $A$9-9 + (ROW()-11)*4,2,1,1,"Internet"))," "))</f>
        <v xml:space="preserve"> </v>
      </c>
      <c r="K114" s="457" t="str">
        <f ca="1">IF(N(I114)&gt;0,VLOOKUP(I114,Hraci!$A$1:$I$1500,3,0)," ")</f>
        <v xml:space="preserve"> </v>
      </c>
      <c r="L114" s="457" t="str">
        <f ca="1">IF(N(I114)&gt;0,VLOOKUP(I114,Hraci!$A$1:$I$1500,5,0),IF(TYPE(INDIRECT(ADDRESS(ROW() + $A$9-9 + (ROW()-11)*4,3,1,1,"Internet")))&gt;1,INDIRECT(ADDRESS(ROW() + $A$9-9 + (ROW()-11)*4,3,1,1,"Internet"))," "))</f>
        <v xml:space="preserve"> </v>
      </c>
      <c r="M114" s="395">
        <f ca="1">IF(N(I114)=0,9999,VLOOKUP(I114,Hraci!$A$1:$I$1500,8,0))</f>
        <v>9999</v>
      </c>
      <c r="N114" s="458">
        <f ca="1">IF(N(I114)=0,0,VLOOKUP(I114,Hraci!$A$1:$I$1500,9,0))</f>
        <v>0</v>
      </c>
      <c r="O114" s="455" t="str">
        <f t="shared" ca="1" si="55"/>
        <v/>
      </c>
      <c r="P114" s="456" t="str">
        <f ca="1">IF(N(O114)&gt;0,VLOOKUP(O114,Hraci!$A$1:$I$1500,2,0),IF(TYPE(INDIRECT(ADDRESS(ROW() + $A$9-8 + (ROW()-11)*4,2,1,1,"Internet")))&gt;1,INDIRECT(ADDRESS(ROW() + $A$9-8 + (ROW()-11)*4,2,1,1,"Internet"))," "))</f>
        <v xml:space="preserve"> </v>
      </c>
      <c r="Q114" s="457" t="str">
        <f ca="1">IF(N(O114)&gt;0,VLOOKUP(O114,Hraci!$A$1:$I$1500,3,0)," ")</f>
        <v xml:space="preserve"> </v>
      </c>
      <c r="R114" s="457" t="str">
        <f ca="1">IF(N(O114)&gt;0,VLOOKUP(O114,Hraci!$A$1:$I$1500,5,0),IF(TYPE(INDIRECT(ADDRESS(ROW() + $A$9-8 + (ROW()-11)*4,3,1,1,"Internet")))&gt;1,INDIRECT(ADDRESS(ROW() + $A$9-8 + (ROW()-11)*4,3,1,1,"Internet"))," "))</f>
        <v xml:space="preserve"> </v>
      </c>
      <c r="S114" s="395">
        <f ca="1">IF(N(O114)=0,9999,VLOOKUP(O114,Hraci!$A$1:$I$1500,8,0))</f>
        <v>9999</v>
      </c>
      <c r="T114" s="458">
        <f ca="1">IF(N(O114)=0,0,VLOOKUP(O114,Hraci!$A$1:$I$1500,9,0))</f>
        <v>0</v>
      </c>
      <c r="U114" s="455" t="str">
        <f t="shared" ca="1" si="56"/>
        <v/>
      </c>
      <c r="V114" s="456" t="str">
        <f ca="1">IF(N(U114)&gt;0,VLOOKUP(U114,Hraci!$A$1:$I$1500,2,0),IF(TYPE(INDIRECT(ADDRESS(ROW() + $A$9-7 + (ROW()-11)*4,2,1,1,"Internet")))&gt;1,INDIRECT(ADDRESS(ROW() + $A$9-7 + (ROW()-11)*4,2,1,1,"Internet"))," "))</f>
        <v xml:space="preserve"> </v>
      </c>
      <c r="W114" s="457" t="str">
        <f ca="1">IF(N(U114)&gt;0,VLOOKUP(U114,Hraci!$A$1:$I$1500,3,0)," ")</f>
        <v xml:space="preserve"> </v>
      </c>
      <c r="X114" s="457" t="str">
        <f ca="1">IF(N(U114)&gt;0,VLOOKUP(U114,Hraci!$A$1:$I$1500,5,0),IF(TYPE(INDIRECT(ADDRESS(ROW() + $A$9-7 + (ROW()-11)*4,3,1,1,"Internet")))&gt;1,INDIRECT(ADDRESS(ROW() + $A$9-7 + (ROW()-11)*4,3,1,1,"Internet"))," "))</f>
        <v xml:space="preserve"> </v>
      </c>
      <c r="Y114" s="395">
        <f ca="1">IF(N(U114)=0,9999,VLOOKUP(U114,Hraci!$A$1:$I$1500,8,0))</f>
        <v>9999</v>
      </c>
      <c r="Z114" s="458">
        <f ca="1">IF(N(U114)=0,0,VLOOKUP(U114,Hraci!$A$1:$I$1500,9,0))</f>
        <v>0</v>
      </c>
      <c r="AA114" s="455" t="str">
        <f t="shared" ca="1" si="57"/>
        <v/>
      </c>
      <c r="AB114" s="456" t="str">
        <f ca="1">IF(N(AA114)&gt;0,VLOOKUP(AA114,Hraci!$A$1:$I$1500,2,0)," ")</f>
        <v xml:space="preserve"> </v>
      </c>
      <c r="AC114" s="457" t="str">
        <f ca="1">IF(N(AA114)&gt;0,VLOOKUP(AA114,Hraci!$A$1:$I$1500,3,0)," ")</f>
        <v xml:space="preserve"> </v>
      </c>
      <c r="AD114" s="457" t="str">
        <f ca="1">IF(N(AA114)&gt;0,VLOOKUP(AA114,Hraci!$A$1:$I$1500,5,0)," ")</f>
        <v xml:space="preserve"> </v>
      </c>
      <c r="AE114" s="395">
        <f ca="1">IF(N(AA114)=0,9999,VLOOKUP(AA114,Hraci!$A$1:$I$1500,8,0))</f>
        <v>9999</v>
      </c>
      <c r="AF114" s="458">
        <f ca="1">IF(N(AA114)=0,0,VLOOKUP(AA114,Hraci!$A$1:$I$1500,9,0))</f>
        <v>0</v>
      </c>
      <c r="AG114" s="459"/>
      <c r="AH114" s="465">
        <f ca="1">IF(TYPE(VLOOKUP(H114,Nasazení!$A$3:$E$130,5,0))&lt;4,VLOOKUP(H114,Nasazení!$A$3:$E$130,5,0),0)</f>
        <v>0</v>
      </c>
      <c r="AI114" s="460" t="str">
        <f ca="1">IF(N($AH114)&gt;0,VLOOKUP($AH114,Body!$A$4:$F$259,5,0),"")</f>
        <v/>
      </c>
      <c r="AJ114" s="461" t="str">
        <f ca="1">IF(N($AH114)&gt;0,VLOOKUP($AH114,Body!$A$4:$F$259,6,0),"")</f>
        <v/>
      </c>
      <c r="AK114" s="460" t="str">
        <f ca="1">IF(N($AH114)&gt;0,VLOOKUP($AH114,Body!$A$4:$F$259,2,0),"")</f>
        <v/>
      </c>
      <c r="AL114" s="462" t="str">
        <f t="shared" ca="1" si="58"/>
        <v/>
      </c>
      <c r="AM114" s="463">
        <f t="shared" ca="1" si="59"/>
        <v>0</v>
      </c>
      <c r="AN114" s="395">
        <f ca="1">IF(OR(TYPE(I114)&gt;1,TYPE(MATCH(I114,I115:I$139,0))&gt;1),0,MATCH(I114,I115:I$139,0))+IF(OR(TYPE(I114)&gt;1,TYPE(MATCH(I114,O$11:O$139,0))&gt;1),0,MATCH(I114,O$11:O$139,0))+IF(OR(TYPE(I114)&gt;1,TYPE(MATCH(I114,U$11:U$139,0))&gt;1),0,MATCH(I114,U$11:U$139,0))+IF(OR(TYPE(I114)&gt;1,TYPE(MATCH(I114,AA$11:AA$139,0))&gt;1),0,MATCH(I114,AA$11:AA$139,0))</f>
        <v>0</v>
      </c>
      <c r="AO114" s="395">
        <f ca="1">IF(OR(TYPE(O114)&gt;1,TYPE(MATCH(O114,I$11:I$139,0))&gt;1),0,MATCH(O114,I$11:I$139,0))+IF(OR(TYPE(O114)&gt;1,TYPE(MATCH(O114,O115:O$139,0))&gt;1),0,MATCH(O114,O115:O$139,0))+IF(OR(TYPE(O114)&gt;1,TYPE(MATCH(O114,U$11:U$139,0))&gt;1),0,MATCH(O114,U$11:U$139,0))+IF(OR(TYPE(O114)&gt;1,TYPE(MATCH(O114,AA$11:AA$139,0))&gt;1),0,MATCH(O114,AA$11:AA$139,0))</f>
        <v>0</v>
      </c>
      <c r="AP114" s="395">
        <f ca="1">IF(OR(TYPE(U114)&gt;1,TYPE(MATCH(U114,I$11:I$139,0))&gt;1),0,MATCH(U114,I$11:I$139,0))+IF(OR(TYPE(U114)&gt;1,TYPE(MATCH(U114,O$11:O$139,0))&gt;1),0,MATCH(U114,O$11:O$139,0))+IF(OR(TYPE(U114)&gt;1,TYPE(MATCH(U114,U115:U$139,0))&gt;1),0,MATCH(U114,U115:U$139,0))+IF(OR(TYPE(U114)&gt;1,TYPE(MATCH(U114,AA$11:AA$139,0))&gt;1),0,MATCH(U114,AA$11:AA$139,0))</f>
        <v>0</v>
      </c>
      <c r="AQ114" s="395">
        <f ca="1">IF(OR(TYPE(AA114)&gt;1,TYPE(MATCH(AA114,I$11:I$139,0))&gt;1),0,MATCH(AA114,I$11:I$139,0))+IF(OR(TYPE(AA114)&gt;1,TYPE(MATCH(AA114,O$11:O$139,0))&gt;1),0,MATCH(AA114,O$11:O$139,0))+IF(OR(TYPE(AA114)&gt;1,TYPE(MATCH(AA114,U$11:U$139,0))&gt;1),0,MATCH(U114,U$11:U$139,0))+IF(OR(TYPE(AA114)&gt;1,TYPE(MATCH(AA114,AA115:AA$139,0))&gt;1),0,MATCH(AA114,AA115:AA$139,0))</f>
        <v>0</v>
      </c>
      <c r="AR114" s="395">
        <f t="shared" ca="1" si="44"/>
        <v>0</v>
      </c>
      <c r="BF114" s="395">
        <f t="shared" si="45"/>
        <v>104</v>
      </c>
    </row>
    <row r="115" spans="1:58" ht="12.9">
      <c r="A115" s="387">
        <f t="shared" ca="1" si="46"/>
        <v>0</v>
      </c>
      <c r="B115" s="387">
        <f t="shared" ca="1" si="47"/>
        <v>0</v>
      </c>
      <c r="C115" s="387">
        <f t="shared" ca="1" si="48"/>
        <v>0</v>
      </c>
      <c r="D115" s="387">
        <f t="shared" ca="1" si="49"/>
        <v>99999</v>
      </c>
      <c r="E115" s="387">
        <f t="shared" ca="1" si="50"/>
        <v>9999</v>
      </c>
      <c r="F115" s="417" t="str">
        <f t="shared" ca="1" si="51"/>
        <v>00000000000000000000511488</v>
      </c>
      <c r="G115" s="453" t="b">
        <f t="shared" ca="1" si="52"/>
        <v>1</v>
      </c>
      <c r="H115" s="454">
        <f t="shared" si="53"/>
        <v>105</v>
      </c>
      <c r="I115" s="455" t="str">
        <f t="shared" ca="1" si="54"/>
        <v/>
      </c>
      <c r="J115" s="456" t="str">
        <f ca="1">IF(N(I115)&gt;0,VLOOKUP(I115,Hraci!$A$1:$I$1500,2,0),IF(TYPE(INDIRECT(ADDRESS(ROW() + $A$9-9 + (ROW()-11)*4,2,1,1,"Internet")))&gt;1,INDIRECT(ADDRESS(ROW() + $A$9-9 + (ROW()-11)*4,2,1,1,"Internet"))," "))</f>
        <v xml:space="preserve"> </v>
      </c>
      <c r="K115" s="457" t="str">
        <f ca="1">IF(N(I115)&gt;0,VLOOKUP(I115,Hraci!$A$1:$I$1500,3,0)," ")</f>
        <v xml:space="preserve"> </v>
      </c>
      <c r="L115" s="457" t="str">
        <f ca="1">IF(N(I115)&gt;0,VLOOKUP(I115,Hraci!$A$1:$I$1500,5,0),IF(TYPE(INDIRECT(ADDRESS(ROW() + $A$9-9 + (ROW()-11)*4,3,1,1,"Internet")))&gt;1,INDIRECT(ADDRESS(ROW() + $A$9-9 + (ROW()-11)*4,3,1,1,"Internet"))," "))</f>
        <v xml:space="preserve"> </v>
      </c>
      <c r="M115" s="395">
        <f ca="1">IF(N(I115)=0,9999,VLOOKUP(I115,Hraci!$A$1:$I$1500,8,0))</f>
        <v>9999</v>
      </c>
      <c r="N115" s="458">
        <f ca="1">IF(N(I115)=0,0,VLOOKUP(I115,Hraci!$A$1:$I$1500,9,0))</f>
        <v>0</v>
      </c>
      <c r="O115" s="455" t="str">
        <f t="shared" ca="1" si="55"/>
        <v/>
      </c>
      <c r="P115" s="456" t="str">
        <f ca="1">IF(N(O115)&gt;0,VLOOKUP(O115,Hraci!$A$1:$I$1500,2,0),IF(TYPE(INDIRECT(ADDRESS(ROW() + $A$9-8 + (ROW()-11)*4,2,1,1,"Internet")))&gt;1,INDIRECT(ADDRESS(ROW() + $A$9-8 + (ROW()-11)*4,2,1,1,"Internet"))," "))</f>
        <v xml:space="preserve"> </v>
      </c>
      <c r="Q115" s="457" t="str">
        <f ca="1">IF(N(O115)&gt;0,VLOOKUP(O115,Hraci!$A$1:$I$1500,3,0)," ")</f>
        <v xml:space="preserve"> </v>
      </c>
      <c r="R115" s="457" t="str">
        <f ca="1">IF(N(O115)&gt;0,VLOOKUP(O115,Hraci!$A$1:$I$1500,5,0),IF(TYPE(INDIRECT(ADDRESS(ROW() + $A$9-8 + (ROW()-11)*4,3,1,1,"Internet")))&gt;1,INDIRECT(ADDRESS(ROW() + $A$9-8 + (ROW()-11)*4,3,1,1,"Internet"))," "))</f>
        <v xml:space="preserve"> </v>
      </c>
      <c r="S115" s="395">
        <f ca="1">IF(N(O115)=0,9999,VLOOKUP(O115,Hraci!$A$1:$I$1500,8,0))</f>
        <v>9999</v>
      </c>
      <c r="T115" s="458">
        <f ca="1">IF(N(O115)=0,0,VLOOKUP(O115,Hraci!$A$1:$I$1500,9,0))</f>
        <v>0</v>
      </c>
      <c r="U115" s="455" t="str">
        <f t="shared" ca="1" si="56"/>
        <v/>
      </c>
      <c r="V115" s="456" t="str">
        <f ca="1">IF(N(U115)&gt;0,VLOOKUP(U115,Hraci!$A$1:$I$1500,2,0),IF(TYPE(INDIRECT(ADDRESS(ROW() + $A$9-7 + (ROW()-11)*4,2,1,1,"Internet")))&gt;1,INDIRECT(ADDRESS(ROW() + $A$9-7 + (ROW()-11)*4,2,1,1,"Internet"))," "))</f>
        <v xml:space="preserve"> </v>
      </c>
      <c r="W115" s="457" t="str">
        <f ca="1">IF(N(U115)&gt;0,VLOOKUP(U115,Hraci!$A$1:$I$1500,3,0)," ")</f>
        <v xml:space="preserve"> </v>
      </c>
      <c r="X115" s="457" t="str">
        <f ca="1">IF(N(U115)&gt;0,VLOOKUP(U115,Hraci!$A$1:$I$1500,5,0),IF(TYPE(INDIRECT(ADDRESS(ROW() + $A$9-7 + (ROW()-11)*4,3,1,1,"Internet")))&gt;1,INDIRECT(ADDRESS(ROW() + $A$9-7 + (ROW()-11)*4,3,1,1,"Internet"))," "))</f>
        <v xml:space="preserve"> </v>
      </c>
      <c r="Y115" s="395">
        <f ca="1">IF(N(U115)=0,9999,VLOOKUP(U115,Hraci!$A$1:$I$1500,8,0))</f>
        <v>9999</v>
      </c>
      <c r="Z115" s="458">
        <f ca="1">IF(N(U115)=0,0,VLOOKUP(U115,Hraci!$A$1:$I$1500,9,0))</f>
        <v>0</v>
      </c>
      <c r="AA115" s="455" t="str">
        <f t="shared" ca="1" si="57"/>
        <v/>
      </c>
      <c r="AB115" s="456" t="str">
        <f ca="1">IF(N(AA115)&gt;0,VLOOKUP(AA115,Hraci!$A$1:$I$1500,2,0)," ")</f>
        <v xml:space="preserve"> </v>
      </c>
      <c r="AC115" s="457" t="str">
        <f ca="1">IF(N(AA115)&gt;0,VLOOKUP(AA115,Hraci!$A$1:$I$1500,3,0)," ")</f>
        <v xml:space="preserve"> </v>
      </c>
      <c r="AD115" s="457" t="str">
        <f ca="1">IF(N(AA115)&gt;0,VLOOKUP(AA115,Hraci!$A$1:$I$1500,5,0)," ")</f>
        <v xml:space="preserve"> </v>
      </c>
      <c r="AE115" s="395">
        <f ca="1">IF(N(AA115)=0,9999,VLOOKUP(AA115,Hraci!$A$1:$I$1500,8,0))</f>
        <v>9999</v>
      </c>
      <c r="AF115" s="458">
        <f ca="1">IF(N(AA115)=0,0,VLOOKUP(AA115,Hraci!$A$1:$I$1500,9,0))</f>
        <v>0</v>
      </c>
      <c r="AG115" s="459"/>
      <c r="AH115" s="465">
        <f ca="1">IF(TYPE(VLOOKUP(H115,Nasazení!$A$3:$E$130,5,0))&lt;4,VLOOKUP(H115,Nasazení!$A$3:$E$130,5,0),0)</f>
        <v>0</v>
      </c>
      <c r="AI115" s="460" t="str">
        <f ca="1">IF(N($AH115)&gt;0,VLOOKUP($AH115,Body!$A$4:$F$259,5,0),"")</f>
        <v/>
      </c>
      <c r="AJ115" s="461" t="str">
        <f ca="1">IF(N($AH115)&gt;0,VLOOKUP($AH115,Body!$A$4:$F$259,6,0),"")</f>
        <v/>
      </c>
      <c r="AK115" s="460" t="str">
        <f ca="1">IF(N($AH115)&gt;0,VLOOKUP($AH115,Body!$A$4:$F$259,2,0),"")</f>
        <v/>
      </c>
      <c r="AL115" s="462" t="str">
        <f t="shared" ca="1" si="58"/>
        <v/>
      </c>
      <c r="AM115" s="463">
        <f t="shared" ca="1" si="59"/>
        <v>0</v>
      </c>
      <c r="AN115" s="395">
        <f ca="1">IF(OR(TYPE(I115)&gt;1,TYPE(MATCH(I115,I116:I$139,0))&gt;1),0,MATCH(I115,I116:I$139,0))+IF(OR(TYPE(I115)&gt;1,TYPE(MATCH(I115,O$11:O$139,0))&gt;1),0,MATCH(I115,O$11:O$139,0))+IF(OR(TYPE(I115)&gt;1,TYPE(MATCH(I115,U$11:U$139,0))&gt;1),0,MATCH(I115,U$11:U$139,0))+IF(OR(TYPE(I115)&gt;1,TYPE(MATCH(I115,AA$11:AA$139,0))&gt;1),0,MATCH(I115,AA$11:AA$139,0))</f>
        <v>0</v>
      </c>
      <c r="AO115" s="395">
        <f ca="1">IF(OR(TYPE(O115)&gt;1,TYPE(MATCH(O115,I$11:I$139,0))&gt;1),0,MATCH(O115,I$11:I$139,0))+IF(OR(TYPE(O115)&gt;1,TYPE(MATCH(O115,O116:O$139,0))&gt;1),0,MATCH(O115,O116:O$139,0))+IF(OR(TYPE(O115)&gt;1,TYPE(MATCH(O115,U$11:U$139,0))&gt;1),0,MATCH(O115,U$11:U$139,0))+IF(OR(TYPE(O115)&gt;1,TYPE(MATCH(O115,AA$11:AA$139,0))&gt;1),0,MATCH(O115,AA$11:AA$139,0))</f>
        <v>0</v>
      </c>
      <c r="AP115" s="395">
        <f ca="1">IF(OR(TYPE(U115)&gt;1,TYPE(MATCH(U115,I$11:I$139,0))&gt;1),0,MATCH(U115,I$11:I$139,0))+IF(OR(TYPE(U115)&gt;1,TYPE(MATCH(U115,O$11:O$139,0))&gt;1),0,MATCH(U115,O$11:O$139,0))+IF(OR(TYPE(U115)&gt;1,TYPE(MATCH(U115,U116:U$139,0))&gt;1),0,MATCH(U115,U116:U$139,0))+IF(OR(TYPE(U115)&gt;1,TYPE(MATCH(U115,AA$11:AA$139,0))&gt;1),0,MATCH(U115,AA$11:AA$139,0))</f>
        <v>0</v>
      </c>
      <c r="AQ115" s="395">
        <f ca="1">IF(OR(TYPE(AA115)&gt;1,TYPE(MATCH(AA115,I$11:I$139,0))&gt;1),0,MATCH(AA115,I$11:I$139,0))+IF(OR(TYPE(AA115)&gt;1,TYPE(MATCH(AA115,O$11:O$139,0))&gt;1),0,MATCH(AA115,O$11:O$139,0))+IF(OR(TYPE(AA115)&gt;1,TYPE(MATCH(AA115,U$11:U$139,0))&gt;1),0,MATCH(U115,U$11:U$139,0))+IF(OR(TYPE(AA115)&gt;1,TYPE(MATCH(AA115,AA116:AA$139,0))&gt;1),0,MATCH(AA115,AA116:AA$139,0))</f>
        <v>0</v>
      </c>
      <c r="AR115" s="395">
        <f t="shared" ca="1" si="44"/>
        <v>0</v>
      </c>
      <c r="BF115" s="395">
        <f t="shared" si="45"/>
        <v>105</v>
      </c>
    </row>
    <row r="116" spans="1:58" ht="12.9">
      <c r="A116" s="387">
        <f t="shared" ca="1" si="46"/>
        <v>0</v>
      </c>
      <c r="B116" s="387">
        <f t="shared" ca="1" si="47"/>
        <v>0</v>
      </c>
      <c r="C116" s="387">
        <f t="shared" ca="1" si="48"/>
        <v>0</v>
      </c>
      <c r="D116" s="387">
        <f t="shared" ca="1" si="49"/>
        <v>99999</v>
      </c>
      <c r="E116" s="387">
        <f t="shared" ca="1" si="50"/>
        <v>9999</v>
      </c>
      <c r="F116" s="417" t="str">
        <f t="shared" ca="1" si="51"/>
        <v>00000000000000000000898064</v>
      </c>
      <c r="G116" s="453" t="b">
        <f t="shared" ca="1" si="52"/>
        <v>1</v>
      </c>
      <c r="H116" s="454">
        <f t="shared" si="53"/>
        <v>106</v>
      </c>
      <c r="I116" s="455" t="str">
        <f t="shared" ca="1" si="54"/>
        <v/>
      </c>
      <c r="J116" s="456" t="str">
        <f ca="1">IF(N(I116)&gt;0,VLOOKUP(I116,Hraci!$A$1:$I$1500,2,0),IF(TYPE(INDIRECT(ADDRESS(ROW() + $A$9-9 + (ROW()-11)*4,2,1,1,"Internet")))&gt;1,INDIRECT(ADDRESS(ROW() + $A$9-9 + (ROW()-11)*4,2,1,1,"Internet"))," "))</f>
        <v xml:space="preserve"> </v>
      </c>
      <c r="K116" s="457" t="str">
        <f ca="1">IF(N(I116)&gt;0,VLOOKUP(I116,Hraci!$A$1:$I$1500,3,0)," ")</f>
        <v xml:space="preserve"> </v>
      </c>
      <c r="L116" s="457" t="str">
        <f ca="1">IF(N(I116)&gt;0,VLOOKUP(I116,Hraci!$A$1:$I$1500,5,0),IF(TYPE(INDIRECT(ADDRESS(ROW() + $A$9-9 + (ROW()-11)*4,3,1,1,"Internet")))&gt;1,INDIRECT(ADDRESS(ROW() + $A$9-9 + (ROW()-11)*4,3,1,1,"Internet"))," "))</f>
        <v xml:space="preserve"> </v>
      </c>
      <c r="M116" s="395">
        <f ca="1">IF(N(I116)=0,9999,VLOOKUP(I116,Hraci!$A$1:$I$1500,8,0))</f>
        <v>9999</v>
      </c>
      <c r="N116" s="458">
        <f ca="1">IF(N(I116)=0,0,VLOOKUP(I116,Hraci!$A$1:$I$1500,9,0))</f>
        <v>0</v>
      </c>
      <c r="O116" s="455" t="str">
        <f t="shared" ca="1" si="55"/>
        <v/>
      </c>
      <c r="P116" s="456" t="str">
        <f ca="1">IF(N(O116)&gt;0,VLOOKUP(O116,Hraci!$A$1:$I$1500,2,0),IF(TYPE(INDIRECT(ADDRESS(ROW() + $A$9-8 + (ROW()-11)*4,2,1,1,"Internet")))&gt;1,INDIRECT(ADDRESS(ROW() + $A$9-8 + (ROW()-11)*4,2,1,1,"Internet"))," "))</f>
        <v xml:space="preserve"> </v>
      </c>
      <c r="Q116" s="457" t="str">
        <f ca="1">IF(N(O116)&gt;0,VLOOKUP(O116,Hraci!$A$1:$I$1500,3,0)," ")</f>
        <v xml:space="preserve"> </v>
      </c>
      <c r="R116" s="457" t="str">
        <f ca="1">IF(N(O116)&gt;0,VLOOKUP(O116,Hraci!$A$1:$I$1500,5,0),IF(TYPE(INDIRECT(ADDRESS(ROW() + $A$9-8 + (ROW()-11)*4,3,1,1,"Internet")))&gt;1,INDIRECT(ADDRESS(ROW() + $A$9-8 + (ROW()-11)*4,3,1,1,"Internet"))," "))</f>
        <v xml:space="preserve"> </v>
      </c>
      <c r="S116" s="395">
        <f ca="1">IF(N(O116)=0,9999,VLOOKUP(O116,Hraci!$A$1:$I$1500,8,0))</f>
        <v>9999</v>
      </c>
      <c r="T116" s="458">
        <f ca="1">IF(N(O116)=0,0,VLOOKUP(O116,Hraci!$A$1:$I$1500,9,0))</f>
        <v>0</v>
      </c>
      <c r="U116" s="455" t="str">
        <f t="shared" ca="1" si="56"/>
        <v/>
      </c>
      <c r="V116" s="456" t="str">
        <f ca="1">IF(N(U116)&gt;0,VLOOKUP(U116,Hraci!$A$1:$I$1500,2,0),IF(TYPE(INDIRECT(ADDRESS(ROW() + $A$9-7 + (ROW()-11)*4,2,1,1,"Internet")))&gt;1,INDIRECT(ADDRESS(ROW() + $A$9-7 + (ROW()-11)*4,2,1,1,"Internet"))," "))</f>
        <v xml:space="preserve"> </v>
      </c>
      <c r="W116" s="457" t="str">
        <f ca="1">IF(N(U116)&gt;0,VLOOKUP(U116,Hraci!$A$1:$I$1500,3,0)," ")</f>
        <v xml:space="preserve"> </v>
      </c>
      <c r="X116" s="457" t="str">
        <f ca="1">IF(N(U116)&gt;0,VLOOKUP(U116,Hraci!$A$1:$I$1500,5,0),IF(TYPE(INDIRECT(ADDRESS(ROW() + $A$9-7 + (ROW()-11)*4,3,1,1,"Internet")))&gt;1,INDIRECT(ADDRESS(ROW() + $A$9-7 + (ROW()-11)*4,3,1,1,"Internet"))," "))</f>
        <v xml:space="preserve"> </v>
      </c>
      <c r="Y116" s="395">
        <f ca="1">IF(N(U116)=0,9999,VLOOKUP(U116,Hraci!$A$1:$I$1500,8,0))</f>
        <v>9999</v>
      </c>
      <c r="Z116" s="458">
        <f ca="1">IF(N(U116)=0,0,VLOOKUP(U116,Hraci!$A$1:$I$1500,9,0))</f>
        <v>0</v>
      </c>
      <c r="AA116" s="455" t="str">
        <f t="shared" ca="1" si="57"/>
        <v/>
      </c>
      <c r="AB116" s="456" t="str">
        <f ca="1">IF(N(AA116)&gt;0,VLOOKUP(AA116,Hraci!$A$1:$I$1500,2,0)," ")</f>
        <v xml:space="preserve"> </v>
      </c>
      <c r="AC116" s="457" t="str">
        <f ca="1">IF(N(AA116)&gt;0,VLOOKUP(AA116,Hraci!$A$1:$I$1500,3,0)," ")</f>
        <v xml:space="preserve"> </v>
      </c>
      <c r="AD116" s="457" t="str">
        <f ca="1">IF(N(AA116)&gt;0,VLOOKUP(AA116,Hraci!$A$1:$I$1500,5,0)," ")</f>
        <v xml:space="preserve"> </v>
      </c>
      <c r="AE116" s="395">
        <f ca="1">IF(N(AA116)=0,9999,VLOOKUP(AA116,Hraci!$A$1:$I$1500,8,0))</f>
        <v>9999</v>
      </c>
      <c r="AF116" s="458">
        <f ca="1">IF(N(AA116)=0,0,VLOOKUP(AA116,Hraci!$A$1:$I$1500,9,0))</f>
        <v>0</v>
      </c>
      <c r="AG116" s="459"/>
      <c r="AH116" s="465">
        <f ca="1">IF(TYPE(VLOOKUP(H116,Nasazení!$A$3:$E$130,5,0))&lt;4,VLOOKUP(H116,Nasazení!$A$3:$E$130,5,0),0)</f>
        <v>0</v>
      </c>
      <c r="AI116" s="460" t="str">
        <f ca="1">IF(N($AH116)&gt;0,VLOOKUP($AH116,Body!$A$4:$F$259,5,0),"")</f>
        <v/>
      </c>
      <c r="AJ116" s="461" t="str">
        <f ca="1">IF(N($AH116)&gt;0,VLOOKUP($AH116,Body!$A$4:$F$259,6,0),"")</f>
        <v/>
      </c>
      <c r="AK116" s="460" t="str">
        <f ca="1">IF(N($AH116)&gt;0,VLOOKUP($AH116,Body!$A$4:$F$259,2,0),"")</f>
        <v/>
      </c>
      <c r="AL116" s="462" t="str">
        <f t="shared" ca="1" si="58"/>
        <v/>
      </c>
      <c r="AM116" s="463">
        <f t="shared" ca="1" si="59"/>
        <v>0</v>
      </c>
      <c r="AN116" s="395">
        <f ca="1">IF(OR(TYPE(I116)&gt;1,TYPE(MATCH(I116,I117:I$139,0))&gt;1),0,MATCH(I116,I117:I$139,0))+IF(OR(TYPE(I116)&gt;1,TYPE(MATCH(I116,O$11:O$139,0))&gt;1),0,MATCH(I116,O$11:O$139,0))+IF(OR(TYPE(I116)&gt;1,TYPE(MATCH(I116,U$11:U$139,0))&gt;1),0,MATCH(I116,U$11:U$139,0))+IF(OR(TYPE(I116)&gt;1,TYPE(MATCH(I116,AA$11:AA$139,0))&gt;1),0,MATCH(I116,AA$11:AA$139,0))</f>
        <v>0</v>
      </c>
      <c r="AO116" s="395">
        <f ca="1">IF(OR(TYPE(O116)&gt;1,TYPE(MATCH(O116,I$11:I$139,0))&gt;1),0,MATCH(O116,I$11:I$139,0))+IF(OR(TYPE(O116)&gt;1,TYPE(MATCH(O116,O117:O$139,0))&gt;1),0,MATCH(O116,O117:O$139,0))+IF(OR(TYPE(O116)&gt;1,TYPE(MATCH(O116,U$11:U$139,0))&gt;1),0,MATCH(O116,U$11:U$139,0))+IF(OR(TYPE(O116)&gt;1,TYPE(MATCH(O116,AA$11:AA$139,0))&gt;1),0,MATCH(O116,AA$11:AA$139,0))</f>
        <v>0</v>
      </c>
      <c r="AP116" s="395">
        <f ca="1">IF(OR(TYPE(U116)&gt;1,TYPE(MATCH(U116,I$11:I$139,0))&gt;1),0,MATCH(U116,I$11:I$139,0))+IF(OR(TYPE(U116)&gt;1,TYPE(MATCH(U116,O$11:O$139,0))&gt;1),0,MATCH(U116,O$11:O$139,0))+IF(OR(TYPE(U116)&gt;1,TYPE(MATCH(U116,U117:U$139,0))&gt;1),0,MATCH(U116,U117:U$139,0))+IF(OR(TYPE(U116)&gt;1,TYPE(MATCH(U116,AA$11:AA$139,0))&gt;1),0,MATCH(U116,AA$11:AA$139,0))</f>
        <v>0</v>
      </c>
      <c r="AQ116" s="395">
        <f ca="1">IF(OR(TYPE(AA116)&gt;1,TYPE(MATCH(AA116,I$11:I$139,0))&gt;1),0,MATCH(AA116,I$11:I$139,0))+IF(OR(TYPE(AA116)&gt;1,TYPE(MATCH(AA116,O$11:O$139,0))&gt;1),0,MATCH(AA116,O$11:O$139,0))+IF(OR(TYPE(AA116)&gt;1,TYPE(MATCH(AA116,U$11:U$139,0))&gt;1),0,MATCH(U116,U$11:U$139,0))+IF(OR(TYPE(AA116)&gt;1,TYPE(MATCH(AA116,AA117:AA$139,0))&gt;1),0,MATCH(AA116,AA117:AA$139,0))</f>
        <v>0</v>
      </c>
      <c r="AR116" s="395">
        <f t="shared" ca="1" si="44"/>
        <v>0</v>
      </c>
      <c r="BF116" s="395">
        <f t="shared" si="45"/>
        <v>106</v>
      </c>
    </row>
    <row r="117" spans="1:58" ht="12.9">
      <c r="A117" s="387">
        <f t="shared" ca="1" si="46"/>
        <v>0</v>
      </c>
      <c r="B117" s="387">
        <f t="shared" ca="1" si="47"/>
        <v>0</v>
      </c>
      <c r="C117" s="387">
        <f t="shared" ca="1" si="48"/>
        <v>0</v>
      </c>
      <c r="D117" s="387">
        <f t="shared" ca="1" si="49"/>
        <v>99999</v>
      </c>
      <c r="E117" s="387">
        <f t="shared" ca="1" si="50"/>
        <v>9999</v>
      </c>
      <c r="F117" s="417" t="str">
        <f t="shared" ca="1" si="51"/>
        <v>00000000000000000000163705</v>
      </c>
      <c r="G117" s="453" t="b">
        <f t="shared" ca="1" si="52"/>
        <v>1</v>
      </c>
      <c r="H117" s="454">
        <f t="shared" si="53"/>
        <v>107</v>
      </c>
      <c r="I117" s="455" t="str">
        <f t="shared" ca="1" si="54"/>
        <v/>
      </c>
      <c r="J117" s="456" t="str">
        <f ca="1">IF(N(I117)&gt;0,VLOOKUP(I117,Hraci!$A$1:$I$1500,2,0),IF(TYPE(INDIRECT(ADDRESS(ROW() + $A$9-9 + (ROW()-11)*4,2,1,1,"Internet")))&gt;1,INDIRECT(ADDRESS(ROW() + $A$9-9 + (ROW()-11)*4,2,1,1,"Internet"))," "))</f>
        <v xml:space="preserve"> </v>
      </c>
      <c r="K117" s="457" t="str">
        <f ca="1">IF(N(I117)&gt;0,VLOOKUP(I117,Hraci!$A$1:$I$1500,3,0)," ")</f>
        <v xml:space="preserve"> </v>
      </c>
      <c r="L117" s="457" t="str">
        <f ca="1">IF(N(I117)&gt;0,VLOOKUP(I117,Hraci!$A$1:$I$1500,5,0),IF(TYPE(INDIRECT(ADDRESS(ROW() + $A$9-9 + (ROW()-11)*4,3,1,1,"Internet")))&gt;1,INDIRECT(ADDRESS(ROW() + $A$9-9 + (ROW()-11)*4,3,1,1,"Internet"))," "))</f>
        <v xml:space="preserve"> </v>
      </c>
      <c r="M117" s="395">
        <f ca="1">IF(N(I117)=0,9999,VLOOKUP(I117,Hraci!$A$1:$I$1500,8,0))</f>
        <v>9999</v>
      </c>
      <c r="N117" s="458">
        <f ca="1">IF(N(I117)=0,0,VLOOKUP(I117,Hraci!$A$1:$I$1500,9,0))</f>
        <v>0</v>
      </c>
      <c r="O117" s="455" t="str">
        <f t="shared" ca="1" si="55"/>
        <v/>
      </c>
      <c r="P117" s="456" t="str">
        <f ca="1">IF(N(O117)&gt;0,VLOOKUP(O117,Hraci!$A$1:$I$1500,2,0),IF(TYPE(INDIRECT(ADDRESS(ROW() + $A$9-8 + (ROW()-11)*4,2,1,1,"Internet")))&gt;1,INDIRECT(ADDRESS(ROW() + $A$9-8 + (ROW()-11)*4,2,1,1,"Internet"))," "))</f>
        <v xml:space="preserve"> </v>
      </c>
      <c r="Q117" s="457" t="str">
        <f ca="1">IF(N(O117)&gt;0,VLOOKUP(O117,Hraci!$A$1:$I$1500,3,0)," ")</f>
        <v xml:space="preserve"> </v>
      </c>
      <c r="R117" s="457" t="str">
        <f ca="1">IF(N(O117)&gt;0,VLOOKUP(O117,Hraci!$A$1:$I$1500,5,0),IF(TYPE(INDIRECT(ADDRESS(ROW() + $A$9-8 + (ROW()-11)*4,3,1,1,"Internet")))&gt;1,INDIRECT(ADDRESS(ROW() + $A$9-8 + (ROW()-11)*4,3,1,1,"Internet"))," "))</f>
        <v xml:space="preserve"> </v>
      </c>
      <c r="S117" s="395">
        <f ca="1">IF(N(O117)=0,9999,VLOOKUP(O117,Hraci!$A$1:$I$1500,8,0))</f>
        <v>9999</v>
      </c>
      <c r="T117" s="458">
        <f ca="1">IF(N(O117)=0,0,VLOOKUP(O117,Hraci!$A$1:$I$1500,9,0))</f>
        <v>0</v>
      </c>
      <c r="U117" s="455" t="str">
        <f t="shared" ca="1" si="56"/>
        <v/>
      </c>
      <c r="V117" s="456" t="str">
        <f ca="1">IF(N(U117)&gt;0,VLOOKUP(U117,Hraci!$A$1:$I$1500,2,0),IF(TYPE(INDIRECT(ADDRESS(ROW() + $A$9-7 + (ROW()-11)*4,2,1,1,"Internet")))&gt;1,INDIRECT(ADDRESS(ROW() + $A$9-7 + (ROW()-11)*4,2,1,1,"Internet"))," "))</f>
        <v xml:space="preserve"> </v>
      </c>
      <c r="W117" s="457" t="str">
        <f ca="1">IF(N(U117)&gt;0,VLOOKUP(U117,Hraci!$A$1:$I$1500,3,0)," ")</f>
        <v xml:space="preserve"> </v>
      </c>
      <c r="X117" s="457" t="str">
        <f ca="1">IF(N(U117)&gt;0,VLOOKUP(U117,Hraci!$A$1:$I$1500,5,0),IF(TYPE(INDIRECT(ADDRESS(ROW() + $A$9-7 + (ROW()-11)*4,3,1,1,"Internet")))&gt;1,INDIRECT(ADDRESS(ROW() + $A$9-7 + (ROW()-11)*4,3,1,1,"Internet"))," "))</f>
        <v xml:space="preserve"> </v>
      </c>
      <c r="Y117" s="395">
        <f ca="1">IF(N(U117)=0,9999,VLOOKUP(U117,Hraci!$A$1:$I$1500,8,0))</f>
        <v>9999</v>
      </c>
      <c r="Z117" s="458">
        <f ca="1">IF(N(U117)=0,0,VLOOKUP(U117,Hraci!$A$1:$I$1500,9,0))</f>
        <v>0</v>
      </c>
      <c r="AA117" s="455" t="str">
        <f t="shared" ca="1" si="57"/>
        <v/>
      </c>
      <c r="AB117" s="456" t="str">
        <f ca="1">IF(N(AA117)&gt;0,VLOOKUP(AA117,Hraci!$A$1:$I$1500,2,0)," ")</f>
        <v xml:space="preserve"> </v>
      </c>
      <c r="AC117" s="457" t="str">
        <f ca="1">IF(N(AA117)&gt;0,VLOOKUP(AA117,Hraci!$A$1:$I$1500,3,0)," ")</f>
        <v xml:space="preserve"> </v>
      </c>
      <c r="AD117" s="457" t="str">
        <f ca="1">IF(N(AA117)&gt;0,VLOOKUP(AA117,Hraci!$A$1:$I$1500,5,0)," ")</f>
        <v xml:space="preserve"> </v>
      </c>
      <c r="AE117" s="395">
        <f ca="1">IF(N(AA117)=0,9999,VLOOKUP(AA117,Hraci!$A$1:$I$1500,8,0))</f>
        <v>9999</v>
      </c>
      <c r="AF117" s="458">
        <f ca="1">IF(N(AA117)=0,0,VLOOKUP(AA117,Hraci!$A$1:$I$1500,9,0))</f>
        <v>0</v>
      </c>
      <c r="AG117" s="459"/>
      <c r="AH117" s="465">
        <f ca="1">IF(TYPE(VLOOKUP(H117,Nasazení!$A$3:$E$130,5,0))&lt;4,VLOOKUP(H117,Nasazení!$A$3:$E$130,5,0),0)</f>
        <v>0</v>
      </c>
      <c r="AI117" s="460" t="str">
        <f ca="1">IF(N($AH117)&gt;0,VLOOKUP($AH117,Body!$A$4:$F$259,5,0),"")</f>
        <v/>
      </c>
      <c r="AJ117" s="461" t="str">
        <f ca="1">IF(N($AH117)&gt;0,VLOOKUP($AH117,Body!$A$4:$F$259,6,0),"")</f>
        <v/>
      </c>
      <c r="AK117" s="460" t="str">
        <f ca="1">IF(N($AH117)&gt;0,VLOOKUP($AH117,Body!$A$4:$F$259,2,0),"")</f>
        <v/>
      </c>
      <c r="AL117" s="462" t="str">
        <f t="shared" ca="1" si="58"/>
        <v/>
      </c>
      <c r="AM117" s="463">
        <f t="shared" ca="1" si="59"/>
        <v>0</v>
      </c>
      <c r="AN117" s="395">
        <f ca="1">IF(OR(TYPE(I117)&gt;1,TYPE(MATCH(I117,I118:I$139,0))&gt;1),0,MATCH(I117,I118:I$139,0))+IF(OR(TYPE(I117)&gt;1,TYPE(MATCH(I117,O$11:O$139,0))&gt;1),0,MATCH(I117,O$11:O$139,0))+IF(OR(TYPE(I117)&gt;1,TYPE(MATCH(I117,U$11:U$139,0))&gt;1),0,MATCH(I117,U$11:U$139,0))+IF(OR(TYPE(I117)&gt;1,TYPE(MATCH(I117,AA$11:AA$139,0))&gt;1),0,MATCH(I117,AA$11:AA$139,0))</f>
        <v>0</v>
      </c>
      <c r="AO117" s="395">
        <f ca="1">IF(OR(TYPE(O117)&gt;1,TYPE(MATCH(O117,I$11:I$139,0))&gt;1),0,MATCH(O117,I$11:I$139,0))+IF(OR(TYPE(O117)&gt;1,TYPE(MATCH(O117,O118:O$139,0))&gt;1),0,MATCH(O117,O118:O$139,0))+IF(OR(TYPE(O117)&gt;1,TYPE(MATCH(O117,U$11:U$139,0))&gt;1),0,MATCH(O117,U$11:U$139,0))+IF(OR(TYPE(O117)&gt;1,TYPE(MATCH(O117,AA$11:AA$139,0))&gt;1),0,MATCH(O117,AA$11:AA$139,0))</f>
        <v>0</v>
      </c>
      <c r="AP117" s="395">
        <f ca="1">IF(OR(TYPE(U117)&gt;1,TYPE(MATCH(U117,I$11:I$139,0))&gt;1),0,MATCH(U117,I$11:I$139,0))+IF(OR(TYPE(U117)&gt;1,TYPE(MATCH(U117,O$11:O$139,0))&gt;1),0,MATCH(U117,O$11:O$139,0))+IF(OR(TYPE(U117)&gt;1,TYPE(MATCH(U117,U118:U$139,0))&gt;1),0,MATCH(U117,U118:U$139,0))+IF(OR(TYPE(U117)&gt;1,TYPE(MATCH(U117,AA$11:AA$139,0))&gt;1),0,MATCH(U117,AA$11:AA$139,0))</f>
        <v>0</v>
      </c>
      <c r="AQ117" s="395">
        <f ca="1">IF(OR(TYPE(AA117)&gt;1,TYPE(MATCH(AA117,I$11:I$139,0))&gt;1),0,MATCH(AA117,I$11:I$139,0))+IF(OR(TYPE(AA117)&gt;1,TYPE(MATCH(AA117,O$11:O$139,0))&gt;1),0,MATCH(AA117,O$11:O$139,0))+IF(OR(TYPE(AA117)&gt;1,TYPE(MATCH(AA117,U$11:U$139,0))&gt;1),0,MATCH(U117,U$11:U$139,0))+IF(OR(TYPE(AA117)&gt;1,TYPE(MATCH(AA117,AA118:AA$139,0))&gt;1),0,MATCH(AA117,AA118:AA$139,0))</f>
        <v>0</v>
      </c>
      <c r="AR117" s="395">
        <f t="shared" ca="1" si="44"/>
        <v>0</v>
      </c>
      <c r="BF117" s="395">
        <f t="shared" si="45"/>
        <v>107</v>
      </c>
    </row>
    <row r="118" spans="1:58" ht="12.9">
      <c r="A118" s="387">
        <f t="shared" ca="1" si="46"/>
        <v>0</v>
      </c>
      <c r="B118" s="387">
        <f t="shared" ca="1" si="47"/>
        <v>0</v>
      </c>
      <c r="C118" s="387">
        <f t="shared" ca="1" si="48"/>
        <v>0</v>
      </c>
      <c r="D118" s="387">
        <f t="shared" ca="1" si="49"/>
        <v>99999</v>
      </c>
      <c r="E118" s="387">
        <f t="shared" ca="1" si="50"/>
        <v>9999</v>
      </c>
      <c r="F118" s="417" t="str">
        <f t="shared" ca="1" si="51"/>
        <v>00000000000000000000115201</v>
      </c>
      <c r="G118" s="453" t="b">
        <f t="shared" ca="1" si="52"/>
        <v>1</v>
      </c>
      <c r="H118" s="454">
        <f t="shared" si="53"/>
        <v>108</v>
      </c>
      <c r="I118" s="455" t="str">
        <f t="shared" ca="1" si="54"/>
        <v/>
      </c>
      <c r="J118" s="456" t="str">
        <f ca="1">IF(N(I118)&gt;0,VLOOKUP(I118,Hraci!$A$1:$I$1500,2,0),IF(TYPE(INDIRECT(ADDRESS(ROW() + $A$9-9 + (ROW()-11)*4,2,1,1,"Internet")))&gt;1,INDIRECT(ADDRESS(ROW() + $A$9-9 + (ROW()-11)*4,2,1,1,"Internet"))," "))</f>
        <v xml:space="preserve"> </v>
      </c>
      <c r="K118" s="457" t="str">
        <f ca="1">IF(N(I118)&gt;0,VLOOKUP(I118,Hraci!$A$1:$I$1500,3,0)," ")</f>
        <v xml:space="preserve"> </v>
      </c>
      <c r="L118" s="457" t="str">
        <f ca="1">IF(N(I118)&gt;0,VLOOKUP(I118,Hraci!$A$1:$I$1500,5,0),IF(TYPE(INDIRECT(ADDRESS(ROW() + $A$9-9 + (ROW()-11)*4,3,1,1,"Internet")))&gt;1,INDIRECT(ADDRESS(ROW() + $A$9-9 + (ROW()-11)*4,3,1,1,"Internet"))," "))</f>
        <v xml:space="preserve"> </v>
      </c>
      <c r="M118" s="395">
        <f ca="1">IF(N(I118)=0,9999,VLOOKUP(I118,Hraci!$A$1:$I$1500,8,0))</f>
        <v>9999</v>
      </c>
      <c r="N118" s="458">
        <f ca="1">IF(N(I118)=0,0,VLOOKUP(I118,Hraci!$A$1:$I$1500,9,0))</f>
        <v>0</v>
      </c>
      <c r="O118" s="455" t="str">
        <f t="shared" ca="1" si="55"/>
        <v/>
      </c>
      <c r="P118" s="456" t="str">
        <f ca="1">IF(N(O118)&gt;0,VLOOKUP(O118,Hraci!$A$1:$I$1500,2,0),IF(TYPE(INDIRECT(ADDRESS(ROW() + $A$9-8 + (ROW()-11)*4,2,1,1,"Internet")))&gt;1,INDIRECT(ADDRESS(ROW() + $A$9-8 + (ROW()-11)*4,2,1,1,"Internet"))," "))</f>
        <v xml:space="preserve"> </v>
      </c>
      <c r="Q118" s="457" t="str">
        <f ca="1">IF(N(O118)&gt;0,VLOOKUP(O118,Hraci!$A$1:$I$1500,3,0)," ")</f>
        <v xml:space="preserve"> </v>
      </c>
      <c r="R118" s="457" t="str">
        <f ca="1">IF(N(O118)&gt;0,VLOOKUP(O118,Hraci!$A$1:$I$1500,5,0),IF(TYPE(INDIRECT(ADDRESS(ROW() + $A$9-8 + (ROW()-11)*4,3,1,1,"Internet")))&gt;1,INDIRECT(ADDRESS(ROW() + $A$9-8 + (ROW()-11)*4,3,1,1,"Internet"))," "))</f>
        <v xml:space="preserve"> </v>
      </c>
      <c r="S118" s="395">
        <f ca="1">IF(N(O118)=0,9999,VLOOKUP(O118,Hraci!$A$1:$I$1500,8,0))</f>
        <v>9999</v>
      </c>
      <c r="T118" s="458">
        <f ca="1">IF(N(O118)=0,0,VLOOKUP(O118,Hraci!$A$1:$I$1500,9,0))</f>
        <v>0</v>
      </c>
      <c r="U118" s="455" t="str">
        <f t="shared" ca="1" si="56"/>
        <v/>
      </c>
      <c r="V118" s="456" t="str">
        <f ca="1">IF(N(U118)&gt;0,VLOOKUP(U118,Hraci!$A$1:$I$1500,2,0),IF(TYPE(INDIRECT(ADDRESS(ROW() + $A$9-7 + (ROW()-11)*4,2,1,1,"Internet")))&gt;1,INDIRECT(ADDRESS(ROW() + $A$9-7 + (ROW()-11)*4,2,1,1,"Internet"))," "))</f>
        <v xml:space="preserve"> </v>
      </c>
      <c r="W118" s="457" t="str">
        <f ca="1">IF(N(U118)&gt;0,VLOOKUP(U118,Hraci!$A$1:$I$1500,3,0)," ")</f>
        <v xml:space="preserve"> </v>
      </c>
      <c r="X118" s="457" t="str">
        <f ca="1">IF(N(U118)&gt;0,VLOOKUP(U118,Hraci!$A$1:$I$1500,5,0),IF(TYPE(INDIRECT(ADDRESS(ROW() + $A$9-7 + (ROW()-11)*4,3,1,1,"Internet")))&gt;1,INDIRECT(ADDRESS(ROW() + $A$9-7 + (ROW()-11)*4,3,1,1,"Internet"))," "))</f>
        <v xml:space="preserve"> </v>
      </c>
      <c r="Y118" s="395">
        <f ca="1">IF(N(U118)=0,9999,VLOOKUP(U118,Hraci!$A$1:$I$1500,8,0))</f>
        <v>9999</v>
      </c>
      <c r="Z118" s="458">
        <f ca="1">IF(N(U118)=0,0,VLOOKUP(U118,Hraci!$A$1:$I$1500,9,0))</f>
        <v>0</v>
      </c>
      <c r="AA118" s="455" t="str">
        <f t="shared" ca="1" si="57"/>
        <v/>
      </c>
      <c r="AB118" s="456" t="str">
        <f ca="1">IF(N(AA118)&gt;0,VLOOKUP(AA118,Hraci!$A$1:$I$1500,2,0)," ")</f>
        <v xml:space="preserve"> </v>
      </c>
      <c r="AC118" s="457" t="str">
        <f ca="1">IF(N(AA118)&gt;0,VLOOKUP(AA118,Hraci!$A$1:$I$1500,3,0)," ")</f>
        <v xml:space="preserve"> </v>
      </c>
      <c r="AD118" s="457" t="str">
        <f ca="1">IF(N(AA118)&gt;0,VLOOKUP(AA118,Hraci!$A$1:$I$1500,5,0)," ")</f>
        <v xml:space="preserve"> </v>
      </c>
      <c r="AE118" s="395">
        <f ca="1">IF(N(AA118)=0,9999,VLOOKUP(AA118,Hraci!$A$1:$I$1500,8,0))</f>
        <v>9999</v>
      </c>
      <c r="AF118" s="458">
        <f ca="1">IF(N(AA118)=0,0,VLOOKUP(AA118,Hraci!$A$1:$I$1500,9,0))</f>
        <v>0</v>
      </c>
      <c r="AG118" s="459"/>
      <c r="AH118" s="465">
        <f ca="1">IF(TYPE(VLOOKUP(H118,Nasazení!$A$3:$E$130,5,0))&lt;4,VLOOKUP(H118,Nasazení!$A$3:$E$130,5,0),0)</f>
        <v>0</v>
      </c>
      <c r="AI118" s="460" t="str">
        <f ca="1">IF(N($AH118)&gt;0,VLOOKUP($AH118,Body!$A$4:$F$259,5,0),"")</f>
        <v/>
      </c>
      <c r="AJ118" s="461" t="str">
        <f ca="1">IF(N($AH118)&gt;0,VLOOKUP($AH118,Body!$A$4:$F$259,6,0),"")</f>
        <v/>
      </c>
      <c r="AK118" s="460" t="str">
        <f ca="1">IF(N($AH118)&gt;0,VLOOKUP($AH118,Body!$A$4:$F$259,2,0),"")</f>
        <v/>
      </c>
      <c r="AL118" s="462" t="str">
        <f t="shared" ca="1" si="58"/>
        <v/>
      </c>
      <c r="AM118" s="463">
        <f t="shared" ca="1" si="59"/>
        <v>0</v>
      </c>
      <c r="AN118" s="395">
        <f ca="1">IF(OR(TYPE(I118)&gt;1,TYPE(MATCH(I118,I119:I$139,0))&gt;1),0,MATCH(I118,I119:I$139,0))+IF(OR(TYPE(I118)&gt;1,TYPE(MATCH(I118,O$11:O$139,0))&gt;1),0,MATCH(I118,O$11:O$139,0))+IF(OR(TYPE(I118)&gt;1,TYPE(MATCH(I118,U$11:U$139,0))&gt;1),0,MATCH(I118,U$11:U$139,0))+IF(OR(TYPE(I118)&gt;1,TYPE(MATCH(I118,AA$11:AA$139,0))&gt;1),0,MATCH(I118,AA$11:AA$139,0))</f>
        <v>0</v>
      </c>
      <c r="AO118" s="395">
        <f ca="1">IF(OR(TYPE(O118)&gt;1,TYPE(MATCH(O118,I$11:I$139,0))&gt;1),0,MATCH(O118,I$11:I$139,0))+IF(OR(TYPE(O118)&gt;1,TYPE(MATCH(O118,O119:O$139,0))&gt;1),0,MATCH(O118,O119:O$139,0))+IF(OR(TYPE(O118)&gt;1,TYPE(MATCH(O118,U$11:U$139,0))&gt;1),0,MATCH(O118,U$11:U$139,0))+IF(OR(TYPE(O118)&gt;1,TYPE(MATCH(O118,AA$11:AA$139,0))&gt;1),0,MATCH(O118,AA$11:AA$139,0))</f>
        <v>0</v>
      </c>
      <c r="AP118" s="395">
        <f ca="1">IF(OR(TYPE(U118)&gt;1,TYPE(MATCH(U118,I$11:I$139,0))&gt;1),0,MATCH(U118,I$11:I$139,0))+IF(OR(TYPE(U118)&gt;1,TYPE(MATCH(U118,O$11:O$139,0))&gt;1),0,MATCH(U118,O$11:O$139,0))+IF(OR(TYPE(U118)&gt;1,TYPE(MATCH(U118,U119:U$139,0))&gt;1),0,MATCH(U118,U119:U$139,0))+IF(OR(TYPE(U118)&gt;1,TYPE(MATCH(U118,AA$11:AA$139,0))&gt;1),0,MATCH(U118,AA$11:AA$139,0))</f>
        <v>0</v>
      </c>
      <c r="AQ118" s="395">
        <f ca="1">IF(OR(TYPE(AA118)&gt;1,TYPE(MATCH(AA118,I$11:I$139,0))&gt;1),0,MATCH(AA118,I$11:I$139,0))+IF(OR(TYPE(AA118)&gt;1,TYPE(MATCH(AA118,O$11:O$139,0))&gt;1),0,MATCH(AA118,O$11:O$139,0))+IF(OR(TYPE(AA118)&gt;1,TYPE(MATCH(AA118,U$11:U$139,0))&gt;1),0,MATCH(U118,U$11:U$139,0))+IF(OR(TYPE(AA118)&gt;1,TYPE(MATCH(AA118,AA119:AA$139,0))&gt;1),0,MATCH(AA118,AA119:AA$139,0))</f>
        <v>0</v>
      </c>
      <c r="AR118" s="395">
        <f t="shared" ca="1" si="44"/>
        <v>0</v>
      </c>
      <c r="BF118" s="395">
        <f t="shared" si="45"/>
        <v>108</v>
      </c>
    </row>
    <row r="119" spans="1:58" ht="12.9">
      <c r="A119" s="387">
        <f t="shared" ca="1" si="46"/>
        <v>0</v>
      </c>
      <c r="B119" s="387">
        <f t="shared" ca="1" si="47"/>
        <v>0</v>
      </c>
      <c r="C119" s="387">
        <f t="shared" ca="1" si="48"/>
        <v>0</v>
      </c>
      <c r="D119" s="387">
        <f t="shared" ca="1" si="49"/>
        <v>99999</v>
      </c>
      <c r="E119" s="387">
        <f t="shared" ca="1" si="50"/>
        <v>9999</v>
      </c>
      <c r="F119" s="417" t="str">
        <f t="shared" ca="1" si="51"/>
        <v>00000000000000000000981460</v>
      </c>
      <c r="G119" s="453" t="b">
        <f t="shared" ca="1" si="52"/>
        <v>1</v>
      </c>
      <c r="H119" s="454">
        <f t="shared" si="53"/>
        <v>109</v>
      </c>
      <c r="I119" s="455" t="str">
        <f t="shared" ca="1" si="54"/>
        <v/>
      </c>
      <c r="J119" s="456" t="str">
        <f ca="1">IF(N(I119)&gt;0,VLOOKUP(I119,Hraci!$A$1:$I$1500,2,0),IF(TYPE(INDIRECT(ADDRESS(ROW() + $A$9-9 + (ROW()-11)*4,2,1,1,"Internet")))&gt;1,INDIRECT(ADDRESS(ROW() + $A$9-9 + (ROW()-11)*4,2,1,1,"Internet"))," "))</f>
        <v xml:space="preserve"> </v>
      </c>
      <c r="K119" s="457" t="str">
        <f ca="1">IF(N(I119)&gt;0,VLOOKUP(I119,Hraci!$A$1:$I$1500,3,0)," ")</f>
        <v xml:space="preserve"> </v>
      </c>
      <c r="L119" s="457" t="str">
        <f ca="1">IF(N(I119)&gt;0,VLOOKUP(I119,Hraci!$A$1:$I$1500,5,0),IF(TYPE(INDIRECT(ADDRESS(ROW() + $A$9-9 + (ROW()-11)*4,3,1,1,"Internet")))&gt;1,INDIRECT(ADDRESS(ROW() + $A$9-9 + (ROW()-11)*4,3,1,1,"Internet"))," "))</f>
        <v xml:space="preserve"> </v>
      </c>
      <c r="M119" s="395">
        <f ca="1">IF(N(I119)=0,9999,VLOOKUP(I119,Hraci!$A$1:$I$1500,8,0))</f>
        <v>9999</v>
      </c>
      <c r="N119" s="458">
        <f ca="1">IF(N(I119)=0,0,VLOOKUP(I119,Hraci!$A$1:$I$1500,9,0))</f>
        <v>0</v>
      </c>
      <c r="O119" s="455" t="str">
        <f t="shared" ca="1" si="55"/>
        <v/>
      </c>
      <c r="P119" s="456" t="str">
        <f ca="1">IF(N(O119)&gt;0,VLOOKUP(O119,Hraci!$A$1:$I$1500,2,0),IF(TYPE(INDIRECT(ADDRESS(ROW() + $A$9-8 + (ROW()-11)*4,2,1,1,"Internet")))&gt;1,INDIRECT(ADDRESS(ROW() + $A$9-8 + (ROW()-11)*4,2,1,1,"Internet"))," "))</f>
        <v xml:space="preserve"> </v>
      </c>
      <c r="Q119" s="457" t="str">
        <f ca="1">IF(N(O119)&gt;0,VLOOKUP(O119,Hraci!$A$1:$I$1500,3,0)," ")</f>
        <v xml:space="preserve"> </v>
      </c>
      <c r="R119" s="457" t="str">
        <f ca="1">IF(N(O119)&gt;0,VLOOKUP(O119,Hraci!$A$1:$I$1500,5,0),IF(TYPE(INDIRECT(ADDRESS(ROW() + $A$9-8 + (ROW()-11)*4,3,1,1,"Internet")))&gt;1,INDIRECT(ADDRESS(ROW() + $A$9-8 + (ROW()-11)*4,3,1,1,"Internet"))," "))</f>
        <v xml:space="preserve"> </v>
      </c>
      <c r="S119" s="395">
        <f ca="1">IF(N(O119)=0,9999,VLOOKUP(O119,Hraci!$A$1:$I$1500,8,0))</f>
        <v>9999</v>
      </c>
      <c r="T119" s="458">
        <f ca="1">IF(N(O119)=0,0,VLOOKUP(O119,Hraci!$A$1:$I$1500,9,0))</f>
        <v>0</v>
      </c>
      <c r="U119" s="455" t="str">
        <f t="shared" ca="1" si="56"/>
        <v/>
      </c>
      <c r="V119" s="456" t="str">
        <f ca="1">IF(N(U119)&gt;0,VLOOKUP(U119,Hraci!$A$1:$I$1500,2,0),IF(TYPE(INDIRECT(ADDRESS(ROW() + $A$9-7 + (ROW()-11)*4,2,1,1,"Internet")))&gt;1,INDIRECT(ADDRESS(ROW() + $A$9-7 + (ROW()-11)*4,2,1,1,"Internet"))," "))</f>
        <v xml:space="preserve"> </v>
      </c>
      <c r="W119" s="457" t="str">
        <f ca="1">IF(N(U119)&gt;0,VLOOKUP(U119,Hraci!$A$1:$I$1500,3,0)," ")</f>
        <v xml:space="preserve"> </v>
      </c>
      <c r="X119" s="457" t="str">
        <f ca="1">IF(N(U119)&gt;0,VLOOKUP(U119,Hraci!$A$1:$I$1500,5,0),IF(TYPE(INDIRECT(ADDRESS(ROW() + $A$9-7 + (ROW()-11)*4,3,1,1,"Internet")))&gt;1,INDIRECT(ADDRESS(ROW() + $A$9-7 + (ROW()-11)*4,3,1,1,"Internet"))," "))</f>
        <v xml:space="preserve"> </v>
      </c>
      <c r="Y119" s="395">
        <f ca="1">IF(N(U119)=0,9999,VLOOKUP(U119,Hraci!$A$1:$I$1500,8,0))</f>
        <v>9999</v>
      </c>
      <c r="Z119" s="458">
        <f ca="1">IF(N(U119)=0,0,VLOOKUP(U119,Hraci!$A$1:$I$1500,9,0))</f>
        <v>0</v>
      </c>
      <c r="AA119" s="455" t="str">
        <f t="shared" ca="1" si="57"/>
        <v/>
      </c>
      <c r="AB119" s="456" t="str">
        <f ca="1">IF(N(AA119)&gt;0,VLOOKUP(AA119,Hraci!$A$1:$I$1500,2,0)," ")</f>
        <v xml:space="preserve"> </v>
      </c>
      <c r="AC119" s="457" t="str">
        <f ca="1">IF(N(AA119)&gt;0,VLOOKUP(AA119,Hraci!$A$1:$I$1500,3,0)," ")</f>
        <v xml:space="preserve"> </v>
      </c>
      <c r="AD119" s="457" t="str">
        <f ca="1">IF(N(AA119)&gt;0,VLOOKUP(AA119,Hraci!$A$1:$I$1500,5,0)," ")</f>
        <v xml:space="preserve"> </v>
      </c>
      <c r="AE119" s="395">
        <f ca="1">IF(N(AA119)=0,9999,VLOOKUP(AA119,Hraci!$A$1:$I$1500,8,0))</f>
        <v>9999</v>
      </c>
      <c r="AF119" s="458">
        <f ca="1">IF(N(AA119)=0,0,VLOOKUP(AA119,Hraci!$A$1:$I$1500,9,0))</f>
        <v>0</v>
      </c>
      <c r="AG119" s="459"/>
      <c r="AH119" s="465">
        <f ca="1">IF(TYPE(VLOOKUP(H119,Nasazení!$A$3:$E$130,5,0))&lt;4,VLOOKUP(H119,Nasazení!$A$3:$E$130,5,0),0)</f>
        <v>0</v>
      </c>
      <c r="AI119" s="460" t="str">
        <f ca="1">IF(N($AH119)&gt;0,VLOOKUP($AH119,Body!$A$4:$F$259,5,0),"")</f>
        <v/>
      </c>
      <c r="AJ119" s="461" t="str">
        <f ca="1">IF(N($AH119)&gt;0,VLOOKUP($AH119,Body!$A$4:$F$259,6,0),"")</f>
        <v/>
      </c>
      <c r="AK119" s="460" t="str">
        <f ca="1">IF(N($AH119)&gt;0,VLOOKUP($AH119,Body!$A$4:$F$259,2,0),"")</f>
        <v/>
      </c>
      <c r="AL119" s="462" t="str">
        <f t="shared" ca="1" si="58"/>
        <v/>
      </c>
      <c r="AM119" s="463">
        <f t="shared" ca="1" si="59"/>
        <v>0</v>
      </c>
      <c r="AN119" s="395">
        <f ca="1">IF(OR(TYPE(I119)&gt;1,TYPE(MATCH(I119,I120:I$139,0))&gt;1),0,MATCH(I119,I120:I$139,0))+IF(OR(TYPE(I119)&gt;1,TYPE(MATCH(I119,O$11:O$139,0))&gt;1),0,MATCH(I119,O$11:O$139,0))+IF(OR(TYPE(I119)&gt;1,TYPE(MATCH(I119,U$11:U$139,0))&gt;1),0,MATCH(I119,U$11:U$139,0))+IF(OR(TYPE(I119)&gt;1,TYPE(MATCH(I119,AA$11:AA$139,0))&gt;1),0,MATCH(I119,AA$11:AA$139,0))</f>
        <v>0</v>
      </c>
      <c r="AO119" s="395">
        <f ca="1">IF(OR(TYPE(O119)&gt;1,TYPE(MATCH(O119,I$11:I$139,0))&gt;1),0,MATCH(O119,I$11:I$139,0))+IF(OR(TYPE(O119)&gt;1,TYPE(MATCH(O119,O120:O$139,0))&gt;1),0,MATCH(O119,O120:O$139,0))+IF(OR(TYPE(O119)&gt;1,TYPE(MATCH(O119,U$11:U$139,0))&gt;1),0,MATCH(O119,U$11:U$139,0))+IF(OR(TYPE(O119)&gt;1,TYPE(MATCH(O119,AA$11:AA$139,0))&gt;1),0,MATCH(O119,AA$11:AA$139,0))</f>
        <v>0</v>
      </c>
      <c r="AP119" s="395">
        <f ca="1">IF(OR(TYPE(U119)&gt;1,TYPE(MATCH(U119,I$11:I$139,0))&gt;1),0,MATCH(U119,I$11:I$139,0))+IF(OR(TYPE(U119)&gt;1,TYPE(MATCH(U119,O$11:O$139,0))&gt;1),0,MATCH(U119,O$11:O$139,0))+IF(OR(TYPE(U119)&gt;1,TYPE(MATCH(U119,U120:U$139,0))&gt;1),0,MATCH(U119,U120:U$139,0))+IF(OR(TYPE(U119)&gt;1,TYPE(MATCH(U119,AA$11:AA$139,0))&gt;1),0,MATCH(U119,AA$11:AA$139,0))</f>
        <v>0</v>
      </c>
      <c r="AQ119" s="395">
        <f ca="1">IF(OR(TYPE(AA119)&gt;1,TYPE(MATCH(AA119,I$11:I$139,0))&gt;1),0,MATCH(AA119,I$11:I$139,0))+IF(OR(TYPE(AA119)&gt;1,TYPE(MATCH(AA119,O$11:O$139,0))&gt;1),0,MATCH(AA119,O$11:O$139,0))+IF(OR(TYPE(AA119)&gt;1,TYPE(MATCH(AA119,U$11:U$139,0))&gt;1),0,MATCH(U119,U$11:U$139,0))+IF(OR(TYPE(AA119)&gt;1,TYPE(MATCH(AA119,AA120:AA$139,0))&gt;1),0,MATCH(AA119,AA120:AA$139,0))</f>
        <v>0</v>
      </c>
      <c r="AR119" s="395">
        <f t="shared" ca="1" si="44"/>
        <v>0</v>
      </c>
      <c r="BF119" s="395">
        <f t="shared" si="45"/>
        <v>109</v>
      </c>
    </row>
    <row r="120" spans="1:58" ht="12.9">
      <c r="A120" s="387">
        <f t="shared" ca="1" si="46"/>
        <v>0</v>
      </c>
      <c r="B120" s="387">
        <f t="shared" ca="1" si="47"/>
        <v>0</v>
      </c>
      <c r="C120" s="387">
        <f t="shared" ca="1" si="48"/>
        <v>0</v>
      </c>
      <c r="D120" s="387">
        <f t="shared" ca="1" si="49"/>
        <v>99999</v>
      </c>
      <c r="E120" s="387">
        <f t="shared" ca="1" si="50"/>
        <v>9999</v>
      </c>
      <c r="F120" s="417" t="str">
        <f t="shared" ca="1" si="51"/>
        <v>00000000000000000000406652</v>
      </c>
      <c r="G120" s="453" t="b">
        <f t="shared" ca="1" si="52"/>
        <v>1</v>
      </c>
      <c r="H120" s="454">
        <f t="shared" si="53"/>
        <v>110</v>
      </c>
      <c r="I120" s="455" t="str">
        <f t="shared" ca="1" si="54"/>
        <v/>
      </c>
      <c r="J120" s="456" t="str">
        <f ca="1">IF(N(I120)&gt;0,VLOOKUP(I120,Hraci!$A$1:$I$1500,2,0),IF(TYPE(INDIRECT(ADDRESS(ROW() + $A$9-9 + (ROW()-11)*4,2,1,1,"Internet")))&gt;1,INDIRECT(ADDRESS(ROW() + $A$9-9 + (ROW()-11)*4,2,1,1,"Internet"))," "))</f>
        <v xml:space="preserve"> </v>
      </c>
      <c r="K120" s="457" t="str">
        <f ca="1">IF(N(I120)&gt;0,VLOOKUP(I120,Hraci!$A$1:$I$1500,3,0)," ")</f>
        <v xml:space="preserve"> </v>
      </c>
      <c r="L120" s="457" t="str">
        <f ca="1">IF(N(I120)&gt;0,VLOOKUP(I120,Hraci!$A$1:$I$1500,5,0),IF(TYPE(INDIRECT(ADDRESS(ROW() + $A$9-9 + (ROW()-11)*4,3,1,1,"Internet")))&gt;1,INDIRECT(ADDRESS(ROW() + $A$9-9 + (ROW()-11)*4,3,1,1,"Internet"))," "))</f>
        <v xml:space="preserve"> </v>
      </c>
      <c r="M120" s="395">
        <f ca="1">IF(N(I120)=0,9999,VLOOKUP(I120,Hraci!$A$1:$I$1500,8,0))</f>
        <v>9999</v>
      </c>
      <c r="N120" s="458">
        <f ca="1">IF(N(I120)=0,0,VLOOKUP(I120,Hraci!$A$1:$I$1500,9,0))</f>
        <v>0</v>
      </c>
      <c r="O120" s="455" t="str">
        <f t="shared" ca="1" si="55"/>
        <v/>
      </c>
      <c r="P120" s="456" t="str">
        <f ca="1">IF(N(O120)&gt;0,VLOOKUP(O120,Hraci!$A$1:$I$1500,2,0),IF(TYPE(INDIRECT(ADDRESS(ROW() + $A$9-8 + (ROW()-11)*4,2,1,1,"Internet")))&gt;1,INDIRECT(ADDRESS(ROW() + $A$9-8 + (ROW()-11)*4,2,1,1,"Internet"))," "))</f>
        <v xml:space="preserve"> </v>
      </c>
      <c r="Q120" s="457" t="str">
        <f ca="1">IF(N(O120)&gt;0,VLOOKUP(O120,Hraci!$A$1:$I$1500,3,0)," ")</f>
        <v xml:space="preserve"> </v>
      </c>
      <c r="R120" s="457" t="str">
        <f ca="1">IF(N(O120)&gt;0,VLOOKUP(O120,Hraci!$A$1:$I$1500,5,0),IF(TYPE(INDIRECT(ADDRESS(ROW() + $A$9-8 + (ROW()-11)*4,3,1,1,"Internet")))&gt;1,INDIRECT(ADDRESS(ROW() + $A$9-8 + (ROW()-11)*4,3,1,1,"Internet"))," "))</f>
        <v xml:space="preserve"> </v>
      </c>
      <c r="S120" s="395">
        <f ca="1">IF(N(O120)=0,9999,VLOOKUP(O120,Hraci!$A$1:$I$1500,8,0))</f>
        <v>9999</v>
      </c>
      <c r="T120" s="458">
        <f ca="1">IF(N(O120)=0,0,VLOOKUP(O120,Hraci!$A$1:$I$1500,9,0))</f>
        <v>0</v>
      </c>
      <c r="U120" s="455" t="str">
        <f t="shared" ca="1" si="56"/>
        <v/>
      </c>
      <c r="V120" s="456" t="str">
        <f ca="1">IF(N(U120)&gt;0,VLOOKUP(U120,Hraci!$A$1:$I$1500,2,0),IF(TYPE(INDIRECT(ADDRESS(ROW() + $A$9-7 + (ROW()-11)*4,2,1,1,"Internet")))&gt;1,INDIRECT(ADDRESS(ROW() + $A$9-7 + (ROW()-11)*4,2,1,1,"Internet"))," "))</f>
        <v xml:space="preserve"> </v>
      </c>
      <c r="W120" s="457" t="str">
        <f ca="1">IF(N(U120)&gt;0,VLOOKUP(U120,Hraci!$A$1:$I$1500,3,0)," ")</f>
        <v xml:space="preserve"> </v>
      </c>
      <c r="X120" s="457" t="str">
        <f ca="1">IF(N(U120)&gt;0,VLOOKUP(U120,Hraci!$A$1:$I$1500,5,0),IF(TYPE(INDIRECT(ADDRESS(ROW() + $A$9-7 + (ROW()-11)*4,3,1,1,"Internet")))&gt;1,INDIRECT(ADDRESS(ROW() + $A$9-7 + (ROW()-11)*4,3,1,1,"Internet"))," "))</f>
        <v xml:space="preserve"> </v>
      </c>
      <c r="Y120" s="395">
        <f ca="1">IF(N(U120)=0,9999,VLOOKUP(U120,Hraci!$A$1:$I$1500,8,0))</f>
        <v>9999</v>
      </c>
      <c r="Z120" s="458">
        <f ca="1">IF(N(U120)=0,0,VLOOKUP(U120,Hraci!$A$1:$I$1500,9,0))</f>
        <v>0</v>
      </c>
      <c r="AA120" s="455" t="str">
        <f t="shared" ca="1" si="57"/>
        <v/>
      </c>
      <c r="AB120" s="456" t="str">
        <f ca="1">IF(N(AA120)&gt;0,VLOOKUP(AA120,Hraci!$A$1:$I$1500,2,0)," ")</f>
        <v xml:space="preserve"> </v>
      </c>
      <c r="AC120" s="457" t="str">
        <f ca="1">IF(N(AA120)&gt;0,VLOOKUP(AA120,Hraci!$A$1:$I$1500,3,0)," ")</f>
        <v xml:space="preserve"> </v>
      </c>
      <c r="AD120" s="457" t="str">
        <f ca="1">IF(N(AA120)&gt;0,VLOOKUP(AA120,Hraci!$A$1:$I$1500,5,0)," ")</f>
        <v xml:space="preserve"> </v>
      </c>
      <c r="AE120" s="395">
        <f ca="1">IF(N(AA120)=0,9999,VLOOKUP(AA120,Hraci!$A$1:$I$1500,8,0))</f>
        <v>9999</v>
      </c>
      <c r="AF120" s="458">
        <f ca="1">IF(N(AA120)=0,0,VLOOKUP(AA120,Hraci!$A$1:$I$1500,9,0))</f>
        <v>0</v>
      </c>
      <c r="AG120" s="459"/>
      <c r="AH120" s="465">
        <f ca="1">IF(TYPE(VLOOKUP(H120,Nasazení!$A$3:$E$130,5,0))&lt;4,VLOOKUP(H120,Nasazení!$A$3:$E$130,5,0),0)</f>
        <v>0</v>
      </c>
      <c r="AI120" s="460" t="str">
        <f ca="1">IF(N($AH120)&gt;0,VLOOKUP($AH120,Body!$A$4:$F$259,5,0),"")</f>
        <v/>
      </c>
      <c r="AJ120" s="461" t="str">
        <f ca="1">IF(N($AH120)&gt;0,VLOOKUP($AH120,Body!$A$4:$F$259,6,0),"")</f>
        <v/>
      </c>
      <c r="AK120" s="460" t="str">
        <f ca="1">IF(N($AH120)&gt;0,VLOOKUP($AH120,Body!$A$4:$F$259,2,0),"")</f>
        <v/>
      </c>
      <c r="AL120" s="462" t="str">
        <f t="shared" ca="1" si="58"/>
        <v/>
      </c>
      <c r="AM120" s="463">
        <f t="shared" ca="1" si="59"/>
        <v>0</v>
      </c>
      <c r="AN120" s="395">
        <f ca="1">IF(OR(TYPE(I120)&gt;1,TYPE(MATCH(I120,I121:I$139,0))&gt;1),0,MATCH(I120,I121:I$139,0))+IF(OR(TYPE(I120)&gt;1,TYPE(MATCH(I120,O$11:O$139,0))&gt;1),0,MATCH(I120,O$11:O$139,0))+IF(OR(TYPE(I120)&gt;1,TYPE(MATCH(I120,U$11:U$139,0))&gt;1),0,MATCH(I120,U$11:U$139,0))+IF(OR(TYPE(I120)&gt;1,TYPE(MATCH(I120,AA$11:AA$139,0))&gt;1),0,MATCH(I120,AA$11:AA$139,0))</f>
        <v>0</v>
      </c>
      <c r="AO120" s="395">
        <f ca="1">IF(OR(TYPE(O120)&gt;1,TYPE(MATCH(O120,I$11:I$139,0))&gt;1),0,MATCH(O120,I$11:I$139,0))+IF(OR(TYPE(O120)&gt;1,TYPE(MATCH(O120,O121:O$139,0))&gt;1),0,MATCH(O120,O121:O$139,0))+IF(OR(TYPE(O120)&gt;1,TYPE(MATCH(O120,U$11:U$139,0))&gt;1),0,MATCH(O120,U$11:U$139,0))+IF(OR(TYPE(O120)&gt;1,TYPE(MATCH(O120,AA$11:AA$139,0))&gt;1),0,MATCH(O120,AA$11:AA$139,0))</f>
        <v>0</v>
      </c>
      <c r="AP120" s="395">
        <f ca="1">IF(OR(TYPE(U120)&gt;1,TYPE(MATCH(U120,I$11:I$139,0))&gt;1),0,MATCH(U120,I$11:I$139,0))+IF(OR(TYPE(U120)&gt;1,TYPE(MATCH(U120,O$11:O$139,0))&gt;1),0,MATCH(U120,O$11:O$139,0))+IF(OR(TYPE(U120)&gt;1,TYPE(MATCH(U120,U121:U$139,0))&gt;1),0,MATCH(U120,U121:U$139,0))+IF(OR(TYPE(U120)&gt;1,TYPE(MATCH(U120,AA$11:AA$139,0))&gt;1),0,MATCH(U120,AA$11:AA$139,0))</f>
        <v>0</v>
      </c>
      <c r="AQ120" s="395">
        <f ca="1">IF(OR(TYPE(AA120)&gt;1,TYPE(MATCH(AA120,I$11:I$139,0))&gt;1),0,MATCH(AA120,I$11:I$139,0))+IF(OR(TYPE(AA120)&gt;1,TYPE(MATCH(AA120,O$11:O$139,0))&gt;1),0,MATCH(AA120,O$11:O$139,0))+IF(OR(TYPE(AA120)&gt;1,TYPE(MATCH(AA120,U$11:U$139,0))&gt;1),0,MATCH(U120,U$11:U$139,0))+IF(OR(TYPE(AA120)&gt;1,TYPE(MATCH(AA120,AA121:AA$139,0))&gt;1),0,MATCH(AA120,AA121:AA$139,0))</f>
        <v>0</v>
      </c>
      <c r="AR120" s="395">
        <f t="shared" ca="1" si="44"/>
        <v>0</v>
      </c>
      <c r="BF120" s="395">
        <f t="shared" si="45"/>
        <v>110</v>
      </c>
    </row>
    <row r="121" spans="1:58" ht="12.9">
      <c r="A121" s="387">
        <f t="shared" ca="1" si="46"/>
        <v>0</v>
      </c>
      <c r="B121" s="387">
        <f t="shared" ca="1" si="47"/>
        <v>0</v>
      </c>
      <c r="C121" s="387">
        <f t="shared" ca="1" si="48"/>
        <v>0</v>
      </c>
      <c r="D121" s="387">
        <f t="shared" ca="1" si="49"/>
        <v>99999</v>
      </c>
      <c r="E121" s="387">
        <f t="shared" ca="1" si="50"/>
        <v>9999</v>
      </c>
      <c r="F121" s="417" t="str">
        <f t="shared" ca="1" si="51"/>
        <v>00000000000000000000526628</v>
      </c>
      <c r="G121" s="453" t="b">
        <f t="shared" ca="1" si="52"/>
        <v>1</v>
      </c>
      <c r="H121" s="454">
        <f t="shared" si="53"/>
        <v>111</v>
      </c>
      <c r="I121" s="455" t="str">
        <f t="shared" ca="1" si="54"/>
        <v/>
      </c>
      <c r="J121" s="456" t="str">
        <f ca="1">IF(N(I121)&gt;0,VLOOKUP(I121,Hraci!$A$1:$I$1500,2,0),IF(TYPE(INDIRECT(ADDRESS(ROW() + $A$9-9 + (ROW()-11)*4,2,1,1,"Internet")))&gt;1,INDIRECT(ADDRESS(ROW() + $A$9-9 + (ROW()-11)*4,2,1,1,"Internet"))," "))</f>
        <v xml:space="preserve"> </v>
      </c>
      <c r="K121" s="457" t="str">
        <f ca="1">IF(N(I121)&gt;0,VLOOKUP(I121,Hraci!$A$1:$I$1500,3,0)," ")</f>
        <v xml:space="preserve"> </v>
      </c>
      <c r="L121" s="457" t="str">
        <f ca="1">IF(N(I121)&gt;0,VLOOKUP(I121,Hraci!$A$1:$I$1500,5,0),IF(TYPE(INDIRECT(ADDRESS(ROW() + $A$9-9 + (ROW()-11)*4,3,1,1,"Internet")))&gt;1,INDIRECT(ADDRESS(ROW() + $A$9-9 + (ROW()-11)*4,3,1,1,"Internet"))," "))</f>
        <v xml:space="preserve"> </v>
      </c>
      <c r="M121" s="395">
        <f ca="1">IF(N(I121)=0,9999,VLOOKUP(I121,Hraci!$A$1:$I$1500,8,0))</f>
        <v>9999</v>
      </c>
      <c r="N121" s="458">
        <f ca="1">IF(N(I121)=0,0,VLOOKUP(I121,Hraci!$A$1:$I$1500,9,0))</f>
        <v>0</v>
      </c>
      <c r="O121" s="455" t="str">
        <f t="shared" ca="1" si="55"/>
        <v/>
      </c>
      <c r="P121" s="456" t="str">
        <f ca="1">IF(N(O121)&gt;0,VLOOKUP(O121,Hraci!$A$1:$I$1500,2,0),IF(TYPE(INDIRECT(ADDRESS(ROW() + $A$9-8 + (ROW()-11)*4,2,1,1,"Internet")))&gt;1,INDIRECT(ADDRESS(ROW() + $A$9-8 + (ROW()-11)*4,2,1,1,"Internet"))," "))</f>
        <v xml:space="preserve"> </v>
      </c>
      <c r="Q121" s="457" t="str">
        <f ca="1">IF(N(O121)&gt;0,VLOOKUP(O121,Hraci!$A$1:$I$1500,3,0)," ")</f>
        <v xml:space="preserve"> </v>
      </c>
      <c r="R121" s="457" t="str">
        <f ca="1">IF(N(O121)&gt;0,VLOOKUP(O121,Hraci!$A$1:$I$1500,5,0),IF(TYPE(INDIRECT(ADDRESS(ROW() + $A$9-8 + (ROW()-11)*4,3,1,1,"Internet")))&gt;1,INDIRECT(ADDRESS(ROW() + $A$9-8 + (ROW()-11)*4,3,1,1,"Internet"))," "))</f>
        <v xml:space="preserve"> </v>
      </c>
      <c r="S121" s="395">
        <f ca="1">IF(N(O121)=0,9999,VLOOKUP(O121,Hraci!$A$1:$I$1500,8,0))</f>
        <v>9999</v>
      </c>
      <c r="T121" s="458">
        <f ca="1">IF(N(O121)=0,0,VLOOKUP(O121,Hraci!$A$1:$I$1500,9,0))</f>
        <v>0</v>
      </c>
      <c r="U121" s="455" t="str">
        <f t="shared" ca="1" si="56"/>
        <v/>
      </c>
      <c r="V121" s="456" t="str">
        <f ca="1">IF(N(U121)&gt;0,VLOOKUP(U121,Hraci!$A$1:$I$1500,2,0),IF(TYPE(INDIRECT(ADDRESS(ROW() + $A$9-7 + (ROW()-11)*4,2,1,1,"Internet")))&gt;1,INDIRECT(ADDRESS(ROW() + $A$9-7 + (ROW()-11)*4,2,1,1,"Internet"))," "))</f>
        <v xml:space="preserve"> </v>
      </c>
      <c r="W121" s="457" t="str">
        <f ca="1">IF(N(U121)&gt;0,VLOOKUP(U121,Hraci!$A$1:$I$1500,3,0)," ")</f>
        <v xml:space="preserve"> </v>
      </c>
      <c r="X121" s="457" t="str">
        <f ca="1">IF(N(U121)&gt;0,VLOOKUP(U121,Hraci!$A$1:$I$1500,5,0),IF(TYPE(INDIRECT(ADDRESS(ROW() + $A$9-7 + (ROW()-11)*4,3,1,1,"Internet")))&gt;1,INDIRECT(ADDRESS(ROW() + $A$9-7 + (ROW()-11)*4,3,1,1,"Internet"))," "))</f>
        <v xml:space="preserve"> </v>
      </c>
      <c r="Y121" s="395">
        <f ca="1">IF(N(U121)=0,9999,VLOOKUP(U121,Hraci!$A$1:$I$1500,8,0))</f>
        <v>9999</v>
      </c>
      <c r="Z121" s="458">
        <f ca="1">IF(N(U121)=0,0,VLOOKUP(U121,Hraci!$A$1:$I$1500,9,0))</f>
        <v>0</v>
      </c>
      <c r="AA121" s="455" t="str">
        <f t="shared" ca="1" si="57"/>
        <v/>
      </c>
      <c r="AB121" s="456" t="str">
        <f ca="1">IF(N(AA121)&gt;0,VLOOKUP(AA121,Hraci!$A$1:$I$1500,2,0)," ")</f>
        <v xml:space="preserve"> </v>
      </c>
      <c r="AC121" s="457" t="str">
        <f ca="1">IF(N(AA121)&gt;0,VLOOKUP(AA121,Hraci!$A$1:$I$1500,3,0)," ")</f>
        <v xml:space="preserve"> </v>
      </c>
      <c r="AD121" s="457" t="str">
        <f ca="1">IF(N(AA121)&gt;0,VLOOKUP(AA121,Hraci!$A$1:$I$1500,5,0)," ")</f>
        <v xml:space="preserve"> </v>
      </c>
      <c r="AE121" s="395">
        <f ca="1">IF(N(AA121)=0,9999,VLOOKUP(AA121,Hraci!$A$1:$I$1500,8,0))</f>
        <v>9999</v>
      </c>
      <c r="AF121" s="458">
        <f ca="1">IF(N(AA121)=0,0,VLOOKUP(AA121,Hraci!$A$1:$I$1500,9,0))</f>
        <v>0</v>
      </c>
      <c r="AG121" s="459"/>
      <c r="AH121" s="465">
        <f ca="1">IF(TYPE(VLOOKUP(H121,Nasazení!$A$3:$E$130,5,0))&lt;4,VLOOKUP(H121,Nasazení!$A$3:$E$130,5,0),0)</f>
        <v>0</v>
      </c>
      <c r="AI121" s="460" t="str">
        <f ca="1">IF(N($AH121)&gt;0,VLOOKUP($AH121,Body!$A$4:$F$259,5,0),"")</f>
        <v/>
      </c>
      <c r="AJ121" s="461" t="str">
        <f ca="1">IF(N($AH121)&gt;0,VLOOKUP($AH121,Body!$A$4:$F$259,6,0),"")</f>
        <v/>
      </c>
      <c r="AK121" s="460" t="str">
        <f ca="1">IF(N($AH121)&gt;0,VLOOKUP($AH121,Body!$A$4:$F$259,2,0),"")</f>
        <v/>
      </c>
      <c r="AL121" s="462" t="str">
        <f t="shared" ca="1" si="58"/>
        <v/>
      </c>
      <c r="AM121" s="463">
        <f t="shared" ca="1" si="59"/>
        <v>0</v>
      </c>
      <c r="AN121" s="395">
        <f ca="1">IF(OR(TYPE(I121)&gt;1,TYPE(MATCH(I121,I122:I$139,0))&gt;1),0,MATCH(I121,I122:I$139,0))+IF(OR(TYPE(I121)&gt;1,TYPE(MATCH(I121,O$11:O$139,0))&gt;1),0,MATCH(I121,O$11:O$139,0))+IF(OR(TYPE(I121)&gt;1,TYPE(MATCH(I121,U$11:U$139,0))&gt;1),0,MATCH(I121,U$11:U$139,0))+IF(OR(TYPE(I121)&gt;1,TYPE(MATCH(I121,AA$11:AA$139,0))&gt;1),0,MATCH(I121,AA$11:AA$139,0))</f>
        <v>0</v>
      </c>
      <c r="AO121" s="395">
        <f ca="1">IF(OR(TYPE(O121)&gt;1,TYPE(MATCH(O121,I$11:I$139,0))&gt;1),0,MATCH(O121,I$11:I$139,0))+IF(OR(TYPE(O121)&gt;1,TYPE(MATCH(O121,O122:O$139,0))&gt;1),0,MATCH(O121,O122:O$139,0))+IF(OR(TYPE(O121)&gt;1,TYPE(MATCH(O121,U$11:U$139,0))&gt;1),0,MATCH(O121,U$11:U$139,0))+IF(OR(TYPE(O121)&gt;1,TYPE(MATCH(O121,AA$11:AA$139,0))&gt;1),0,MATCH(O121,AA$11:AA$139,0))</f>
        <v>0</v>
      </c>
      <c r="AP121" s="395">
        <f ca="1">IF(OR(TYPE(U121)&gt;1,TYPE(MATCH(U121,I$11:I$139,0))&gt;1),0,MATCH(U121,I$11:I$139,0))+IF(OR(TYPE(U121)&gt;1,TYPE(MATCH(U121,O$11:O$139,0))&gt;1),0,MATCH(U121,O$11:O$139,0))+IF(OR(TYPE(U121)&gt;1,TYPE(MATCH(U121,U122:U$139,0))&gt;1),0,MATCH(U121,U122:U$139,0))+IF(OR(TYPE(U121)&gt;1,TYPE(MATCH(U121,AA$11:AA$139,0))&gt;1),0,MATCH(U121,AA$11:AA$139,0))</f>
        <v>0</v>
      </c>
      <c r="AQ121" s="395">
        <f ca="1">IF(OR(TYPE(AA121)&gt;1,TYPE(MATCH(AA121,I$11:I$139,0))&gt;1),0,MATCH(AA121,I$11:I$139,0))+IF(OR(TYPE(AA121)&gt;1,TYPE(MATCH(AA121,O$11:O$139,0))&gt;1),0,MATCH(AA121,O$11:O$139,0))+IF(OR(TYPE(AA121)&gt;1,TYPE(MATCH(AA121,U$11:U$139,0))&gt;1),0,MATCH(U121,U$11:U$139,0))+IF(OR(TYPE(AA121)&gt;1,TYPE(MATCH(AA121,AA122:AA$139,0))&gt;1),0,MATCH(AA121,AA122:AA$139,0))</f>
        <v>0</v>
      </c>
      <c r="AR121" s="395">
        <f t="shared" ca="1" si="44"/>
        <v>0</v>
      </c>
      <c r="BF121" s="395">
        <f t="shared" si="45"/>
        <v>111</v>
      </c>
    </row>
    <row r="122" spans="1:58" ht="12.9">
      <c r="A122" s="387">
        <f t="shared" ca="1" si="46"/>
        <v>0</v>
      </c>
      <c r="B122" s="387">
        <f t="shared" ca="1" si="47"/>
        <v>0</v>
      </c>
      <c r="C122" s="387">
        <f t="shared" ca="1" si="48"/>
        <v>0</v>
      </c>
      <c r="D122" s="387">
        <f t="shared" ca="1" si="49"/>
        <v>99999</v>
      </c>
      <c r="E122" s="387">
        <f t="shared" ca="1" si="50"/>
        <v>9999</v>
      </c>
      <c r="F122" s="417" t="str">
        <f t="shared" ca="1" si="51"/>
        <v>00000000000000000000285345</v>
      </c>
      <c r="G122" s="453" t="b">
        <f t="shared" ca="1" si="52"/>
        <v>1</v>
      </c>
      <c r="H122" s="454">
        <f t="shared" si="53"/>
        <v>112</v>
      </c>
      <c r="I122" s="455" t="str">
        <f t="shared" ca="1" si="54"/>
        <v/>
      </c>
      <c r="J122" s="456" t="str">
        <f ca="1">IF(N(I122)&gt;0,VLOOKUP(I122,Hraci!$A$1:$I$1500,2,0),IF(TYPE(INDIRECT(ADDRESS(ROW() + $A$9-9 + (ROW()-11)*4,2,1,1,"Internet")))&gt;1,INDIRECT(ADDRESS(ROW() + $A$9-9 + (ROW()-11)*4,2,1,1,"Internet"))," "))</f>
        <v xml:space="preserve"> </v>
      </c>
      <c r="K122" s="457" t="str">
        <f ca="1">IF(N(I122)&gt;0,VLOOKUP(I122,Hraci!$A$1:$I$1500,3,0)," ")</f>
        <v xml:space="preserve"> </v>
      </c>
      <c r="L122" s="457" t="str">
        <f ca="1">IF(N(I122)&gt;0,VLOOKUP(I122,Hraci!$A$1:$I$1500,5,0),IF(TYPE(INDIRECT(ADDRESS(ROW() + $A$9-9 + (ROW()-11)*4,3,1,1,"Internet")))&gt;1,INDIRECT(ADDRESS(ROW() + $A$9-9 + (ROW()-11)*4,3,1,1,"Internet"))," "))</f>
        <v xml:space="preserve"> </v>
      </c>
      <c r="M122" s="395">
        <f ca="1">IF(N(I122)=0,9999,VLOOKUP(I122,Hraci!$A$1:$I$1500,8,0))</f>
        <v>9999</v>
      </c>
      <c r="N122" s="458">
        <f ca="1">IF(N(I122)=0,0,VLOOKUP(I122,Hraci!$A$1:$I$1500,9,0))</f>
        <v>0</v>
      </c>
      <c r="O122" s="455" t="str">
        <f t="shared" ca="1" si="55"/>
        <v/>
      </c>
      <c r="P122" s="456" t="str">
        <f ca="1">IF(N(O122)&gt;0,VLOOKUP(O122,Hraci!$A$1:$I$1500,2,0),IF(TYPE(INDIRECT(ADDRESS(ROW() + $A$9-8 + (ROW()-11)*4,2,1,1,"Internet")))&gt;1,INDIRECT(ADDRESS(ROW() + $A$9-8 + (ROW()-11)*4,2,1,1,"Internet"))," "))</f>
        <v xml:space="preserve"> </v>
      </c>
      <c r="Q122" s="457" t="str">
        <f ca="1">IF(N(O122)&gt;0,VLOOKUP(O122,Hraci!$A$1:$I$1500,3,0)," ")</f>
        <v xml:space="preserve"> </v>
      </c>
      <c r="R122" s="457" t="str">
        <f ca="1">IF(N(O122)&gt;0,VLOOKUP(O122,Hraci!$A$1:$I$1500,5,0),IF(TYPE(INDIRECT(ADDRESS(ROW() + $A$9-8 + (ROW()-11)*4,3,1,1,"Internet")))&gt;1,INDIRECT(ADDRESS(ROW() + $A$9-8 + (ROW()-11)*4,3,1,1,"Internet"))," "))</f>
        <v xml:space="preserve"> </v>
      </c>
      <c r="S122" s="395">
        <f ca="1">IF(N(O122)=0,9999,VLOOKUP(O122,Hraci!$A$1:$I$1500,8,0))</f>
        <v>9999</v>
      </c>
      <c r="T122" s="458">
        <f ca="1">IF(N(O122)=0,0,VLOOKUP(O122,Hraci!$A$1:$I$1500,9,0))</f>
        <v>0</v>
      </c>
      <c r="U122" s="455" t="str">
        <f t="shared" ca="1" si="56"/>
        <v/>
      </c>
      <c r="V122" s="456" t="str">
        <f ca="1">IF(N(U122)&gt;0,VLOOKUP(U122,Hraci!$A$1:$I$1500,2,0),IF(TYPE(INDIRECT(ADDRESS(ROW() + $A$9-7 + (ROW()-11)*4,2,1,1,"Internet")))&gt;1,INDIRECT(ADDRESS(ROW() + $A$9-7 + (ROW()-11)*4,2,1,1,"Internet"))," "))</f>
        <v xml:space="preserve"> </v>
      </c>
      <c r="W122" s="457" t="str">
        <f ca="1">IF(N(U122)&gt;0,VLOOKUP(U122,Hraci!$A$1:$I$1500,3,0)," ")</f>
        <v xml:space="preserve"> </v>
      </c>
      <c r="X122" s="457" t="str">
        <f ca="1">IF(N(U122)&gt;0,VLOOKUP(U122,Hraci!$A$1:$I$1500,5,0),IF(TYPE(INDIRECT(ADDRESS(ROW() + $A$9-7 + (ROW()-11)*4,3,1,1,"Internet")))&gt;1,INDIRECT(ADDRESS(ROW() + $A$9-7 + (ROW()-11)*4,3,1,1,"Internet"))," "))</f>
        <v xml:space="preserve"> </v>
      </c>
      <c r="Y122" s="395">
        <f ca="1">IF(N(U122)=0,9999,VLOOKUP(U122,Hraci!$A$1:$I$1500,8,0))</f>
        <v>9999</v>
      </c>
      <c r="Z122" s="458">
        <f ca="1">IF(N(U122)=0,0,VLOOKUP(U122,Hraci!$A$1:$I$1500,9,0))</f>
        <v>0</v>
      </c>
      <c r="AA122" s="455" t="str">
        <f t="shared" ca="1" si="57"/>
        <v/>
      </c>
      <c r="AB122" s="456" t="str">
        <f ca="1">IF(N(AA122)&gt;0,VLOOKUP(AA122,Hraci!$A$1:$I$1500,2,0)," ")</f>
        <v xml:space="preserve"> </v>
      </c>
      <c r="AC122" s="457" t="str">
        <f ca="1">IF(N(AA122)&gt;0,VLOOKUP(AA122,Hraci!$A$1:$I$1500,3,0)," ")</f>
        <v xml:space="preserve"> </v>
      </c>
      <c r="AD122" s="457" t="str">
        <f ca="1">IF(N(AA122)&gt;0,VLOOKUP(AA122,Hraci!$A$1:$I$1500,5,0)," ")</f>
        <v xml:space="preserve"> </v>
      </c>
      <c r="AE122" s="395">
        <f ca="1">IF(N(AA122)=0,9999,VLOOKUP(AA122,Hraci!$A$1:$I$1500,8,0))</f>
        <v>9999</v>
      </c>
      <c r="AF122" s="458">
        <f ca="1">IF(N(AA122)=0,0,VLOOKUP(AA122,Hraci!$A$1:$I$1500,9,0))</f>
        <v>0</v>
      </c>
      <c r="AG122" s="459"/>
      <c r="AH122" s="465">
        <f ca="1">IF(TYPE(VLOOKUP(H122,Nasazení!$A$3:$E$130,5,0))&lt;4,VLOOKUP(H122,Nasazení!$A$3:$E$130,5,0),0)</f>
        <v>0</v>
      </c>
      <c r="AI122" s="460" t="str">
        <f ca="1">IF(N($AH122)&gt;0,VLOOKUP($AH122,Body!$A$4:$F$259,5,0),"")</f>
        <v/>
      </c>
      <c r="AJ122" s="461" t="str">
        <f ca="1">IF(N($AH122)&gt;0,VLOOKUP($AH122,Body!$A$4:$F$259,6,0),"")</f>
        <v/>
      </c>
      <c r="AK122" s="460" t="str">
        <f ca="1">IF(N($AH122)&gt;0,VLOOKUP($AH122,Body!$A$4:$F$259,2,0),"")</f>
        <v/>
      </c>
      <c r="AL122" s="462" t="str">
        <f t="shared" ca="1" si="58"/>
        <v/>
      </c>
      <c r="AM122" s="463">
        <f t="shared" ca="1" si="59"/>
        <v>0</v>
      </c>
      <c r="AN122" s="395">
        <f ca="1">IF(OR(TYPE(I122)&gt;1,TYPE(MATCH(I122,I123:I$139,0))&gt;1),0,MATCH(I122,I123:I$139,0))+IF(OR(TYPE(I122)&gt;1,TYPE(MATCH(I122,O$11:O$139,0))&gt;1),0,MATCH(I122,O$11:O$139,0))+IF(OR(TYPE(I122)&gt;1,TYPE(MATCH(I122,U$11:U$139,0))&gt;1),0,MATCH(I122,U$11:U$139,0))+IF(OR(TYPE(I122)&gt;1,TYPE(MATCH(I122,AA$11:AA$139,0))&gt;1),0,MATCH(I122,AA$11:AA$139,0))</f>
        <v>0</v>
      </c>
      <c r="AO122" s="395">
        <f ca="1">IF(OR(TYPE(O122)&gt;1,TYPE(MATCH(O122,I$11:I$139,0))&gt;1),0,MATCH(O122,I$11:I$139,0))+IF(OR(TYPE(O122)&gt;1,TYPE(MATCH(O122,O123:O$139,0))&gt;1),0,MATCH(O122,O123:O$139,0))+IF(OR(TYPE(O122)&gt;1,TYPE(MATCH(O122,U$11:U$139,0))&gt;1),0,MATCH(O122,U$11:U$139,0))+IF(OR(TYPE(O122)&gt;1,TYPE(MATCH(O122,AA$11:AA$139,0))&gt;1),0,MATCH(O122,AA$11:AA$139,0))</f>
        <v>0</v>
      </c>
      <c r="AP122" s="395">
        <f ca="1">IF(OR(TYPE(U122)&gt;1,TYPE(MATCH(U122,I$11:I$139,0))&gt;1),0,MATCH(U122,I$11:I$139,0))+IF(OR(TYPE(U122)&gt;1,TYPE(MATCH(U122,O$11:O$139,0))&gt;1),0,MATCH(U122,O$11:O$139,0))+IF(OR(TYPE(U122)&gt;1,TYPE(MATCH(U122,U123:U$139,0))&gt;1),0,MATCH(U122,U123:U$139,0))+IF(OR(TYPE(U122)&gt;1,TYPE(MATCH(U122,AA$11:AA$139,0))&gt;1),0,MATCH(U122,AA$11:AA$139,0))</f>
        <v>0</v>
      </c>
      <c r="AQ122" s="395">
        <f ca="1">IF(OR(TYPE(AA122)&gt;1,TYPE(MATCH(AA122,I$11:I$139,0))&gt;1),0,MATCH(AA122,I$11:I$139,0))+IF(OR(TYPE(AA122)&gt;1,TYPE(MATCH(AA122,O$11:O$139,0))&gt;1),0,MATCH(AA122,O$11:O$139,0))+IF(OR(TYPE(AA122)&gt;1,TYPE(MATCH(AA122,U$11:U$139,0))&gt;1),0,MATCH(U122,U$11:U$139,0))+IF(OR(TYPE(AA122)&gt;1,TYPE(MATCH(AA122,AA123:AA$139,0))&gt;1),0,MATCH(AA122,AA123:AA$139,0))</f>
        <v>0</v>
      </c>
      <c r="AR122" s="395">
        <f t="shared" ca="1" si="44"/>
        <v>0</v>
      </c>
      <c r="BF122" s="395">
        <f t="shared" si="45"/>
        <v>112</v>
      </c>
    </row>
    <row r="123" spans="1:58" ht="12.9">
      <c r="A123" s="387">
        <f t="shared" ca="1" si="46"/>
        <v>0</v>
      </c>
      <c r="B123" s="387">
        <f t="shared" ca="1" si="47"/>
        <v>0</v>
      </c>
      <c r="C123" s="387">
        <f t="shared" ca="1" si="48"/>
        <v>0</v>
      </c>
      <c r="D123" s="387">
        <f t="shared" ca="1" si="49"/>
        <v>99999</v>
      </c>
      <c r="E123" s="387">
        <f t="shared" ca="1" si="50"/>
        <v>9999</v>
      </c>
      <c r="F123" s="417" t="str">
        <f t="shared" ca="1" si="51"/>
        <v>00000000000000000000171571</v>
      </c>
      <c r="G123" s="453" t="b">
        <f t="shared" ca="1" si="52"/>
        <v>1</v>
      </c>
      <c r="H123" s="454">
        <f t="shared" si="53"/>
        <v>113</v>
      </c>
      <c r="I123" s="455" t="str">
        <f t="shared" ca="1" si="54"/>
        <v/>
      </c>
      <c r="J123" s="456" t="str">
        <f ca="1">IF(N(I123)&gt;0,VLOOKUP(I123,Hraci!$A$1:$I$1500,2,0),IF(TYPE(INDIRECT(ADDRESS(ROW() + $A$9-9 + (ROW()-11)*4,2,1,1,"Internet")))&gt;1,INDIRECT(ADDRESS(ROW() + $A$9-9 + (ROW()-11)*4,2,1,1,"Internet"))," "))</f>
        <v xml:space="preserve"> </v>
      </c>
      <c r="K123" s="457" t="str">
        <f ca="1">IF(N(I123)&gt;0,VLOOKUP(I123,Hraci!$A$1:$I$1500,3,0)," ")</f>
        <v xml:space="preserve"> </v>
      </c>
      <c r="L123" s="457" t="str">
        <f ca="1">IF(N(I123)&gt;0,VLOOKUP(I123,Hraci!$A$1:$I$1500,5,0),IF(TYPE(INDIRECT(ADDRESS(ROW() + $A$9-9 + (ROW()-11)*4,3,1,1,"Internet")))&gt;1,INDIRECT(ADDRESS(ROW() + $A$9-9 + (ROW()-11)*4,3,1,1,"Internet"))," "))</f>
        <v xml:space="preserve"> </v>
      </c>
      <c r="M123" s="395">
        <f ca="1">IF(N(I123)=0,9999,VLOOKUP(I123,Hraci!$A$1:$I$1500,8,0))</f>
        <v>9999</v>
      </c>
      <c r="N123" s="458">
        <f ca="1">IF(N(I123)=0,0,VLOOKUP(I123,Hraci!$A$1:$I$1500,9,0))</f>
        <v>0</v>
      </c>
      <c r="O123" s="455" t="str">
        <f t="shared" ca="1" si="55"/>
        <v/>
      </c>
      <c r="P123" s="456" t="str">
        <f ca="1">IF(N(O123)&gt;0,VLOOKUP(O123,Hraci!$A$1:$I$1500,2,0),IF(TYPE(INDIRECT(ADDRESS(ROW() + $A$9-8 + (ROW()-11)*4,2,1,1,"Internet")))&gt;1,INDIRECT(ADDRESS(ROW() + $A$9-8 + (ROW()-11)*4,2,1,1,"Internet"))," "))</f>
        <v xml:space="preserve"> </v>
      </c>
      <c r="Q123" s="457" t="str">
        <f ca="1">IF(N(O123)&gt;0,VLOOKUP(O123,Hraci!$A$1:$I$1500,3,0)," ")</f>
        <v xml:space="preserve"> </v>
      </c>
      <c r="R123" s="457" t="str">
        <f ca="1">IF(N(O123)&gt;0,VLOOKUP(O123,Hraci!$A$1:$I$1500,5,0),IF(TYPE(INDIRECT(ADDRESS(ROW() + $A$9-8 + (ROW()-11)*4,3,1,1,"Internet")))&gt;1,INDIRECT(ADDRESS(ROW() + $A$9-8 + (ROW()-11)*4,3,1,1,"Internet"))," "))</f>
        <v xml:space="preserve"> </v>
      </c>
      <c r="S123" s="395">
        <f ca="1">IF(N(O123)=0,9999,VLOOKUP(O123,Hraci!$A$1:$I$1500,8,0))</f>
        <v>9999</v>
      </c>
      <c r="T123" s="458">
        <f ca="1">IF(N(O123)=0,0,VLOOKUP(O123,Hraci!$A$1:$I$1500,9,0))</f>
        <v>0</v>
      </c>
      <c r="U123" s="455" t="str">
        <f t="shared" ca="1" si="56"/>
        <v/>
      </c>
      <c r="V123" s="456" t="str">
        <f ca="1">IF(N(U123)&gt;0,VLOOKUP(U123,Hraci!$A$1:$I$1500,2,0),IF(TYPE(INDIRECT(ADDRESS(ROW() + $A$9-7 + (ROW()-11)*4,2,1,1,"Internet")))&gt;1,INDIRECT(ADDRESS(ROW() + $A$9-7 + (ROW()-11)*4,2,1,1,"Internet"))," "))</f>
        <v xml:space="preserve"> </v>
      </c>
      <c r="W123" s="457" t="str">
        <f ca="1">IF(N(U123)&gt;0,VLOOKUP(U123,Hraci!$A$1:$I$1500,3,0)," ")</f>
        <v xml:space="preserve"> </v>
      </c>
      <c r="X123" s="457" t="str">
        <f ca="1">IF(N(U123)&gt;0,VLOOKUP(U123,Hraci!$A$1:$I$1500,5,0),IF(TYPE(INDIRECT(ADDRESS(ROW() + $A$9-7 + (ROW()-11)*4,3,1,1,"Internet")))&gt;1,INDIRECT(ADDRESS(ROW() + $A$9-7 + (ROW()-11)*4,3,1,1,"Internet"))," "))</f>
        <v xml:space="preserve"> </v>
      </c>
      <c r="Y123" s="395">
        <f ca="1">IF(N(U123)=0,9999,VLOOKUP(U123,Hraci!$A$1:$I$1500,8,0))</f>
        <v>9999</v>
      </c>
      <c r="Z123" s="458">
        <f ca="1">IF(N(U123)=0,0,VLOOKUP(U123,Hraci!$A$1:$I$1500,9,0))</f>
        <v>0</v>
      </c>
      <c r="AA123" s="455" t="str">
        <f t="shared" ca="1" si="57"/>
        <v/>
      </c>
      <c r="AB123" s="456" t="str">
        <f ca="1">IF(N(AA123)&gt;0,VLOOKUP(AA123,Hraci!$A$1:$I$1500,2,0)," ")</f>
        <v xml:space="preserve"> </v>
      </c>
      <c r="AC123" s="457" t="str">
        <f ca="1">IF(N(AA123)&gt;0,VLOOKUP(AA123,Hraci!$A$1:$I$1500,3,0)," ")</f>
        <v xml:space="preserve"> </v>
      </c>
      <c r="AD123" s="457" t="str">
        <f ca="1">IF(N(AA123)&gt;0,VLOOKUP(AA123,Hraci!$A$1:$I$1500,5,0)," ")</f>
        <v xml:space="preserve"> </v>
      </c>
      <c r="AE123" s="395">
        <f ca="1">IF(N(AA123)=0,9999,VLOOKUP(AA123,Hraci!$A$1:$I$1500,8,0))</f>
        <v>9999</v>
      </c>
      <c r="AF123" s="458">
        <f ca="1">IF(N(AA123)=0,0,VLOOKUP(AA123,Hraci!$A$1:$I$1500,9,0))</f>
        <v>0</v>
      </c>
      <c r="AG123" s="459"/>
      <c r="AH123" s="465">
        <f ca="1">IF(TYPE(VLOOKUP(H123,Nasazení!$A$3:$E$130,5,0))&lt;4,VLOOKUP(H123,Nasazení!$A$3:$E$130,5,0),0)</f>
        <v>0</v>
      </c>
      <c r="AI123" s="460" t="str">
        <f ca="1">IF(N($AH123)&gt;0,VLOOKUP($AH123,Body!$A$4:$F$259,5,0),"")</f>
        <v/>
      </c>
      <c r="AJ123" s="461" t="str">
        <f ca="1">IF(N($AH123)&gt;0,VLOOKUP($AH123,Body!$A$4:$F$259,6,0),"")</f>
        <v/>
      </c>
      <c r="AK123" s="460" t="str">
        <f ca="1">IF(N($AH123)&gt;0,VLOOKUP($AH123,Body!$A$4:$F$259,2,0),"")</f>
        <v/>
      </c>
      <c r="AL123" s="462" t="str">
        <f t="shared" ca="1" si="58"/>
        <v/>
      </c>
      <c r="AM123" s="463">
        <f t="shared" ca="1" si="59"/>
        <v>0</v>
      </c>
      <c r="AN123" s="395">
        <f ca="1">IF(OR(TYPE(I123)&gt;1,TYPE(MATCH(I123,I124:I$139,0))&gt;1),0,MATCH(I123,I124:I$139,0))+IF(OR(TYPE(I123)&gt;1,TYPE(MATCH(I123,O$11:O$139,0))&gt;1),0,MATCH(I123,O$11:O$139,0))+IF(OR(TYPE(I123)&gt;1,TYPE(MATCH(I123,U$11:U$139,0))&gt;1),0,MATCH(I123,U$11:U$139,0))+IF(OR(TYPE(I123)&gt;1,TYPE(MATCH(I123,AA$11:AA$139,0))&gt;1),0,MATCH(I123,AA$11:AA$139,0))</f>
        <v>0</v>
      </c>
      <c r="AO123" s="395">
        <f ca="1">IF(OR(TYPE(O123)&gt;1,TYPE(MATCH(O123,I$11:I$139,0))&gt;1),0,MATCH(O123,I$11:I$139,0))+IF(OR(TYPE(O123)&gt;1,TYPE(MATCH(O123,O124:O$139,0))&gt;1),0,MATCH(O123,O124:O$139,0))+IF(OR(TYPE(O123)&gt;1,TYPE(MATCH(O123,U$11:U$139,0))&gt;1),0,MATCH(O123,U$11:U$139,0))+IF(OR(TYPE(O123)&gt;1,TYPE(MATCH(O123,AA$11:AA$139,0))&gt;1),0,MATCH(O123,AA$11:AA$139,0))</f>
        <v>0</v>
      </c>
      <c r="AP123" s="395">
        <f ca="1">IF(OR(TYPE(U123)&gt;1,TYPE(MATCH(U123,I$11:I$139,0))&gt;1),0,MATCH(U123,I$11:I$139,0))+IF(OR(TYPE(U123)&gt;1,TYPE(MATCH(U123,O$11:O$139,0))&gt;1),0,MATCH(U123,O$11:O$139,0))+IF(OR(TYPE(U123)&gt;1,TYPE(MATCH(U123,U124:U$139,0))&gt;1),0,MATCH(U123,U124:U$139,0))+IF(OR(TYPE(U123)&gt;1,TYPE(MATCH(U123,AA$11:AA$139,0))&gt;1),0,MATCH(U123,AA$11:AA$139,0))</f>
        <v>0</v>
      </c>
      <c r="AQ123" s="395">
        <f ca="1">IF(OR(TYPE(AA123)&gt;1,TYPE(MATCH(AA123,I$11:I$139,0))&gt;1),0,MATCH(AA123,I$11:I$139,0))+IF(OR(TYPE(AA123)&gt;1,TYPE(MATCH(AA123,O$11:O$139,0))&gt;1),0,MATCH(AA123,O$11:O$139,0))+IF(OR(TYPE(AA123)&gt;1,TYPE(MATCH(AA123,U$11:U$139,0))&gt;1),0,MATCH(U123,U$11:U$139,0))+IF(OR(TYPE(AA123)&gt;1,TYPE(MATCH(AA123,AA124:AA$139,0))&gt;1),0,MATCH(AA123,AA124:AA$139,0))</f>
        <v>0</v>
      </c>
      <c r="AR123" s="395">
        <f t="shared" ca="1" si="44"/>
        <v>0</v>
      </c>
      <c r="BF123" s="395">
        <f t="shared" si="45"/>
        <v>113</v>
      </c>
    </row>
    <row r="124" spans="1:58" ht="12.9">
      <c r="A124" s="387">
        <f t="shared" ca="1" si="46"/>
        <v>0</v>
      </c>
      <c r="B124" s="387">
        <f t="shared" ca="1" si="47"/>
        <v>0</v>
      </c>
      <c r="C124" s="387">
        <f t="shared" ca="1" si="48"/>
        <v>0</v>
      </c>
      <c r="D124" s="387">
        <f t="shared" ca="1" si="49"/>
        <v>99999</v>
      </c>
      <c r="E124" s="387">
        <f t="shared" ca="1" si="50"/>
        <v>9999</v>
      </c>
      <c r="F124" s="417" t="str">
        <f t="shared" ca="1" si="51"/>
        <v>00000000000000000000838452</v>
      </c>
      <c r="G124" s="453" t="b">
        <f t="shared" ca="1" si="52"/>
        <v>1</v>
      </c>
      <c r="H124" s="454">
        <f t="shared" si="53"/>
        <v>114</v>
      </c>
      <c r="I124" s="455" t="str">
        <f t="shared" ca="1" si="54"/>
        <v/>
      </c>
      <c r="J124" s="456" t="str">
        <f ca="1">IF(N(I124)&gt;0,VLOOKUP(I124,Hraci!$A$1:$I$1500,2,0),IF(TYPE(INDIRECT(ADDRESS(ROW() + $A$9-9 + (ROW()-11)*4,2,1,1,"Internet")))&gt;1,INDIRECT(ADDRESS(ROW() + $A$9-9 + (ROW()-11)*4,2,1,1,"Internet"))," "))</f>
        <v xml:space="preserve"> </v>
      </c>
      <c r="K124" s="457" t="str">
        <f ca="1">IF(N(I124)&gt;0,VLOOKUP(I124,Hraci!$A$1:$I$1500,3,0)," ")</f>
        <v xml:space="preserve"> </v>
      </c>
      <c r="L124" s="457" t="str">
        <f ca="1">IF(N(I124)&gt;0,VLOOKUP(I124,Hraci!$A$1:$I$1500,5,0),IF(TYPE(INDIRECT(ADDRESS(ROW() + $A$9-9 + (ROW()-11)*4,3,1,1,"Internet")))&gt;1,INDIRECT(ADDRESS(ROW() + $A$9-9 + (ROW()-11)*4,3,1,1,"Internet"))," "))</f>
        <v xml:space="preserve"> </v>
      </c>
      <c r="M124" s="395">
        <f ca="1">IF(N(I124)=0,9999,VLOOKUP(I124,Hraci!$A$1:$I$1500,8,0))</f>
        <v>9999</v>
      </c>
      <c r="N124" s="458">
        <f ca="1">IF(N(I124)=0,0,VLOOKUP(I124,Hraci!$A$1:$I$1500,9,0))</f>
        <v>0</v>
      </c>
      <c r="O124" s="455" t="str">
        <f t="shared" ca="1" si="55"/>
        <v/>
      </c>
      <c r="P124" s="456" t="str">
        <f ca="1">IF(N(O124)&gt;0,VLOOKUP(O124,Hraci!$A$1:$I$1500,2,0),IF(TYPE(INDIRECT(ADDRESS(ROW() + $A$9-8 + (ROW()-11)*4,2,1,1,"Internet")))&gt;1,INDIRECT(ADDRESS(ROW() + $A$9-8 + (ROW()-11)*4,2,1,1,"Internet"))," "))</f>
        <v xml:space="preserve"> </v>
      </c>
      <c r="Q124" s="457" t="str">
        <f ca="1">IF(N(O124)&gt;0,VLOOKUP(O124,Hraci!$A$1:$I$1500,3,0)," ")</f>
        <v xml:space="preserve"> </v>
      </c>
      <c r="R124" s="457" t="str">
        <f ca="1">IF(N(O124)&gt;0,VLOOKUP(O124,Hraci!$A$1:$I$1500,5,0),IF(TYPE(INDIRECT(ADDRESS(ROW() + $A$9-8 + (ROW()-11)*4,3,1,1,"Internet")))&gt;1,INDIRECT(ADDRESS(ROW() + $A$9-8 + (ROW()-11)*4,3,1,1,"Internet"))," "))</f>
        <v xml:space="preserve"> </v>
      </c>
      <c r="S124" s="395">
        <f ca="1">IF(N(O124)=0,9999,VLOOKUP(O124,Hraci!$A$1:$I$1500,8,0))</f>
        <v>9999</v>
      </c>
      <c r="T124" s="458">
        <f ca="1">IF(N(O124)=0,0,VLOOKUP(O124,Hraci!$A$1:$I$1500,9,0))</f>
        <v>0</v>
      </c>
      <c r="U124" s="455" t="str">
        <f t="shared" ca="1" si="56"/>
        <v/>
      </c>
      <c r="V124" s="456" t="str">
        <f ca="1">IF(N(U124)&gt;0,VLOOKUP(U124,Hraci!$A$1:$I$1500,2,0),IF(TYPE(INDIRECT(ADDRESS(ROW() + $A$9-7 + (ROW()-11)*4,2,1,1,"Internet")))&gt;1,INDIRECT(ADDRESS(ROW() + $A$9-7 + (ROW()-11)*4,2,1,1,"Internet"))," "))</f>
        <v xml:space="preserve"> </v>
      </c>
      <c r="W124" s="457" t="str">
        <f ca="1">IF(N(U124)&gt;0,VLOOKUP(U124,Hraci!$A$1:$I$1500,3,0)," ")</f>
        <v xml:space="preserve"> </v>
      </c>
      <c r="X124" s="457" t="str">
        <f ca="1">IF(N(U124)&gt;0,VLOOKUP(U124,Hraci!$A$1:$I$1500,5,0),IF(TYPE(INDIRECT(ADDRESS(ROW() + $A$9-7 + (ROW()-11)*4,3,1,1,"Internet")))&gt;1,INDIRECT(ADDRESS(ROW() + $A$9-7 + (ROW()-11)*4,3,1,1,"Internet"))," "))</f>
        <v xml:space="preserve"> </v>
      </c>
      <c r="Y124" s="395">
        <f ca="1">IF(N(U124)=0,9999,VLOOKUP(U124,Hraci!$A$1:$I$1500,8,0))</f>
        <v>9999</v>
      </c>
      <c r="Z124" s="458">
        <f ca="1">IF(N(U124)=0,0,VLOOKUP(U124,Hraci!$A$1:$I$1500,9,0))</f>
        <v>0</v>
      </c>
      <c r="AA124" s="455" t="str">
        <f t="shared" ca="1" si="57"/>
        <v/>
      </c>
      <c r="AB124" s="456" t="str">
        <f ca="1">IF(N(AA124)&gt;0,VLOOKUP(AA124,Hraci!$A$1:$I$1500,2,0)," ")</f>
        <v xml:space="preserve"> </v>
      </c>
      <c r="AC124" s="457" t="str">
        <f ca="1">IF(N(AA124)&gt;0,VLOOKUP(AA124,Hraci!$A$1:$I$1500,3,0)," ")</f>
        <v xml:space="preserve"> </v>
      </c>
      <c r="AD124" s="457" t="str">
        <f ca="1">IF(N(AA124)&gt;0,VLOOKUP(AA124,Hraci!$A$1:$I$1500,5,0)," ")</f>
        <v xml:space="preserve"> </v>
      </c>
      <c r="AE124" s="395">
        <f ca="1">IF(N(AA124)=0,9999,VLOOKUP(AA124,Hraci!$A$1:$I$1500,8,0))</f>
        <v>9999</v>
      </c>
      <c r="AF124" s="458">
        <f ca="1">IF(N(AA124)=0,0,VLOOKUP(AA124,Hraci!$A$1:$I$1500,9,0))</f>
        <v>0</v>
      </c>
      <c r="AG124" s="459"/>
      <c r="AH124" s="465">
        <f ca="1">IF(TYPE(VLOOKUP(H124,Nasazení!$A$3:$E$130,5,0))&lt;4,VLOOKUP(H124,Nasazení!$A$3:$E$130,5,0),0)</f>
        <v>0</v>
      </c>
      <c r="AI124" s="460" t="str">
        <f ca="1">IF(N($AH124)&gt;0,VLOOKUP($AH124,Body!$A$4:$F$259,5,0),"")</f>
        <v/>
      </c>
      <c r="AJ124" s="461" t="str">
        <f ca="1">IF(N($AH124)&gt;0,VLOOKUP($AH124,Body!$A$4:$F$259,6,0),"")</f>
        <v/>
      </c>
      <c r="AK124" s="460" t="str">
        <f ca="1">IF(N($AH124)&gt;0,VLOOKUP($AH124,Body!$A$4:$F$259,2,0),"")</f>
        <v/>
      </c>
      <c r="AL124" s="462" t="str">
        <f t="shared" ca="1" si="58"/>
        <v/>
      </c>
      <c r="AM124" s="463">
        <f t="shared" ca="1" si="59"/>
        <v>0</v>
      </c>
      <c r="AN124" s="395">
        <f ca="1">IF(OR(TYPE(I124)&gt;1,TYPE(MATCH(I124,I125:I$139,0))&gt;1),0,MATCH(I124,I125:I$139,0))+IF(OR(TYPE(I124)&gt;1,TYPE(MATCH(I124,O$11:O$139,0))&gt;1),0,MATCH(I124,O$11:O$139,0))+IF(OR(TYPE(I124)&gt;1,TYPE(MATCH(I124,U$11:U$139,0))&gt;1),0,MATCH(I124,U$11:U$139,0))+IF(OR(TYPE(I124)&gt;1,TYPE(MATCH(I124,AA$11:AA$139,0))&gt;1),0,MATCH(I124,AA$11:AA$139,0))</f>
        <v>0</v>
      </c>
      <c r="AO124" s="395">
        <f ca="1">IF(OR(TYPE(O124)&gt;1,TYPE(MATCH(O124,I$11:I$139,0))&gt;1),0,MATCH(O124,I$11:I$139,0))+IF(OR(TYPE(O124)&gt;1,TYPE(MATCH(O124,O125:O$139,0))&gt;1),0,MATCH(O124,O125:O$139,0))+IF(OR(TYPE(O124)&gt;1,TYPE(MATCH(O124,U$11:U$139,0))&gt;1),0,MATCH(O124,U$11:U$139,0))+IF(OR(TYPE(O124)&gt;1,TYPE(MATCH(O124,AA$11:AA$139,0))&gt;1),0,MATCH(O124,AA$11:AA$139,0))</f>
        <v>0</v>
      </c>
      <c r="AP124" s="395">
        <f ca="1">IF(OR(TYPE(U124)&gt;1,TYPE(MATCH(U124,I$11:I$139,0))&gt;1),0,MATCH(U124,I$11:I$139,0))+IF(OR(TYPE(U124)&gt;1,TYPE(MATCH(U124,O$11:O$139,0))&gt;1),0,MATCH(U124,O$11:O$139,0))+IF(OR(TYPE(U124)&gt;1,TYPE(MATCH(U124,U125:U$139,0))&gt;1),0,MATCH(U124,U125:U$139,0))+IF(OR(TYPE(U124)&gt;1,TYPE(MATCH(U124,AA$11:AA$139,0))&gt;1),0,MATCH(U124,AA$11:AA$139,0))</f>
        <v>0</v>
      </c>
      <c r="AQ124" s="395">
        <f ca="1">IF(OR(TYPE(AA124)&gt;1,TYPE(MATCH(AA124,I$11:I$139,0))&gt;1),0,MATCH(AA124,I$11:I$139,0))+IF(OR(TYPE(AA124)&gt;1,TYPE(MATCH(AA124,O$11:O$139,0))&gt;1),0,MATCH(AA124,O$11:O$139,0))+IF(OR(TYPE(AA124)&gt;1,TYPE(MATCH(AA124,U$11:U$139,0))&gt;1),0,MATCH(U124,U$11:U$139,0))+IF(OR(TYPE(AA124)&gt;1,TYPE(MATCH(AA124,AA125:AA$139,0))&gt;1),0,MATCH(AA124,AA125:AA$139,0))</f>
        <v>0</v>
      </c>
      <c r="AR124" s="395">
        <f t="shared" ca="1" si="44"/>
        <v>0</v>
      </c>
      <c r="BF124" s="395">
        <f t="shared" si="45"/>
        <v>114</v>
      </c>
    </row>
    <row r="125" spans="1:58" ht="12.9">
      <c r="A125" s="387">
        <f t="shared" ca="1" si="46"/>
        <v>0</v>
      </c>
      <c r="B125" s="387">
        <f t="shared" ca="1" si="47"/>
        <v>0</v>
      </c>
      <c r="C125" s="387">
        <f t="shared" ca="1" si="48"/>
        <v>0</v>
      </c>
      <c r="D125" s="387">
        <f t="shared" ca="1" si="49"/>
        <v>99999</v>
      </c>
      <c r="E125" s="387">
        <f t="shared" ca="1" si="50"/>
        <v>9999</v>
      </c>
      <c r="F125" s="417" t="str">
        <f t="shared" ca="1" si="51"/>
        <v>00000000000000000000686133</v>
      </c>
      <c r="G125" s="453" t="b">
        <f t="shared" ca="1" si="52"/>
        <v>1</v>
      </c>
      <c r="H125" s="454">
        <f t="shared" si="53"/>
        <v>115</v>
      </c>
      <c r="I125" s="455" t="str">
        <f t="shared" ca="1" si="54"/>
        <v/>
      </c>
      <c r="J125" s="456" t="str">
        <f ca="1">IF(N(I125)&gt;0,VLOOKUP(I125,Hraci!$A$1:$I$1500,2,0),IF(TYPE(INDIRECT(ADDRESS(ROW() + $A$9-9 + (ROW()-11)*4,2,1,1,"Internet")))&gt;1,INDIRECT(ADDRESS(ROW() + $A$9-9 + (ROW()-11)*4,2,1,1,"Internet"))," "))</f>
        <v xml:space="preserve"> </v>
      </c>
      <c r="K125" s="457" t="str">
        <f ca="1">IF(N(I125)&gt;0,VLOOKUP(I125,Hraci!$A$1:$I$1500,3,0)," ")</f>
        <v xml:space="preserve"> </v>
      </c>
      <c r="L125" s="457" t="str">
        <f ca="1">IF(N(I125)&gt;0,VLOOKUP(I125,Hraci!$A$1:$I$1500,5,0),IF(TYPE(INDIRECT(ADDRESS(ROW() + $A$9-9 + (ROW()-11)*4,3,1,1,"Internet")))&gt;1,INDIRECT(ADDRESS(ROW() + $A$9-9 + (ROW()-11)*4,3,1,1,"Internet"))," "))</f>
        <v xml:space="preserve"> </v>
      </c>
      <c r="M125" s="395">
        <f ca="1">IF(N(I125)=0,9999,VLOOKUP(I125,Hraci!$A$1:$I$1500,8,0))</f>
        <v>9999</v>
      </c>
      <c r="N125" s="458">
        <f ca="1">IF(N(I125)=0,0,VLOOKUP(I125,Hraci!$A$1:$I$1500,9,0))</f>
        <v>0</v>
      </c>
      <c r="O125" s="455" t="str">
        <f t="shared" ca="1" si="55"/>
        <v/>
      </c>
      <c r="P125" s="456" t="str">
        <f ca="1">IF(N(O125)&gt;0,VLOOKUP(O125,Hraci!$A$1:$I$1500,2,0),IF(TYPE(INDIRECT(ADDRESS(ROW() + $A$9-8 + (ROW()-11)*4,2,1,1,"Internet")))&gt;1,INDIRECT(ADDRESS(ROW() + $A$9-8 + (ROW()-11)*4,2,1,1,"Internet"))," "))</f>
        <v xml:space="preserve"> </v>
      </c>
      <c r="Q125" s="457" t="str">
        <f ca="1">IF(N(O125)&gt;0,VLOOKUP(O125,Hraci!$A$1:$I$1500,3,0)," ")</f>
        <v xml:space="preserve"> </v>
      </c>
      <c r="R125" s="457" t="str">
        <f ca="1">IF(N(O125)&gt;0,VLOOKUP(O125,Hraci!$A$1:$I$1500,5,0),IF(TYPE(INDIRECT(ADDRESS(ROW() + $A$9-8 + (ROW()-11)*4,3,1,1,"Internet")))&gt;1,INDIRECT(ADDRESS(ROW() + $A$9-8 + (ROW()-11)*4,3,1,1,"Internet"))," "))</f>
        <v xml:space="preserve"> </v>
      </c>
      <c r="S125" s="395">
        <f ca="1">IF(N(O125)=0,9999,VLOOKUP(O125,Hraci!$A$1:$I$1500,8,0))</f>
        <v>9999</v>
      </c>
      <c r="T125" s="458">
        <f ca="1">IF(N(O125)=0,0,VLOOKUP(O125,Hraci!$A$1:$I$1500,9,0))</f>
        <v>0</v>
      </c>
      <c r="U125" s="455" t="str">
        <f t="shared" ca="1" si="56"/>
        <v/>
      </c>
      <c r="V125" s="456" t="str">
        <f ca="1">IF(N(U125)&gt;0,VLOOKUP(U125,Hraci!$A$1:$I$1500,2,0),IF(TYPE(INDIRECT(ADDRESS(ROW() + $A$9-7 + (ROW()-11)*4,2,1,1,"Internet")))&gt;1,INDIRECT(ADDRESS(ROW() + $A$9-7 + (ROW()-11)*4,2,1,1,"Internet"))," "))</f>
        <v xml:space="preserve"> </v>
      </c>
      <c r="W125" s="457" t="str">
        <f ca="1">IF(N(U125)&gt;0,VLOOKUP(U125,Hraci!$A$1:$I$1500,3,0)," ")</f>
        <v xml:space="preserve"> </v>
      </c>
      <c r="X125" s="457" t="str">
        <f ca="1">IF(N(U125)&gt;0,VLOOKUP(U125,Hraci!$A$1:$I$1500,5,0),IF(TYPE(INDIRECT(ADDRESS(ROW() + $A$9-7 + (ROW()-11)*4,3,1,1,"Internet")))&gt;1,INDIRECT(ADDRESS(ROW() + $A$9-7 + (ROW()-11)*4,3,1,1,"Internet"))," "))</f>
        <v xml:space="preserve"> </v>
      </c>
      <c r="Y125" s="395">
        <f ca="1">IF(N(U125)=0,9999,VLOOKUP(U125,Hraci!$A$1:$I$1500,8,0))</f>
        <v>9999</v>
      </c>
      <c r="Z125" s="458">
        <f ca="1">IF(N(U125)=0,0,VLOOKUP(U125,Hraci!$A$1:$I$1500,9,0))</f>
        <v>0</v>
      </c>
      <c r="AA125" s="455" t="str">
        <f t="shared" ca="1" si="57"/>
        <v/>
      </c>
      <c r="AB125" s="456" t="str">
        <f ca="1">IF(N(AA125)&gt;0,VLOOKUP(AA125,Hraci!$A$1:$I$1500,2,0)," ")</f>
        <v xml:space="preserve"> </v>
      </c>
      <c r="AC125" s="457" t="str">
        <f ca="1">IF(N(AA125)&gt;0,VLOOKUP(AA125,Hraci!$A$1:$I$1500,3,0)," ")</f>
        <v xml:space="preserve"> </v>
      </c>
      <c r="AD125" s="457" t="str">
        <f ca="1">IF(N(AA125)&gt;0,VLOOKUP(AA125,Hraci!$A$1:$I$1500,5,0)," ")</f>
        <v xml:space="preserve"> </v>
      </c>
      <c r="AE125" s="395">
        <f ca="1">IF(N(AA125)=0,9999,VLOOKUP(AA125,Hraci!$A$1:$I$1500,8,0))</f>
        <v>9999</v>
      </c>
      <c r="AF125" s="458">
        <f ca="1">IF(N(AA125)=0,0,VLOOKUP(AA125,Hraci!$A$1:$I$1500,9,0))</f>
        <v>0</v>
      </c>
      <c r="AG125" s="459"/>
      <c r="AH125" s="465">
        <f ca="1">IF(TYPE(VLOOKUP(H125,Nasazení!$A$3:$E$130,5,0))&lt;4,VLOOKUP(H125,Nasazení!$A$3:$E$130,5,0),0)</f>
        <v>0</v>
      </c>
      <c r="AI125" s="460" t="str">
        <f ca="1">IF(N($AH125)&gt;0,VLOOKUP($AH125,Body!$A$4:$F$259,5,0),"")</f>
        <v/>
      </c>
      <c r="AJ125" s="461" t="str">
        <f ca="1">IF(N($AH125)&gt;0,VLOOKUP($AH125,Body!$A$4:$F$259,6,0),"")</f>
        <v/>
      </c>
      <c r="AK125" s="460" t="str">
        <f ca="1">IF(N($AH125)&gt;0,VLOOKUP($AH125,Body!$A$4:$F$259,2,0),"")</f>
        <v/>
      </c>
      <c r="AL125" s="462" t="str">
        <f t="shared" ca="1" si="58"/>
        <v/>
      </c>
      <c r="AM125" s="463">
        <f t="shared" ca="1" si="59"/>
        <v>0</v>
      </c>
      <c r="AN125" s="395">
        <f ca="1">IF(OR(TYPE(I125)&gt;1,TYPE(MATCH(I125,I126:I$139,0))&gt;1),0,MATCH(I125,I126:I$139,0))+IF(OR(TYPE(I125)&gt;1,TYPE(MATCH(I125,O$11:O$139,0))&gt;1),0,MATCH(I125,O$11:O$139,0))+IF(OR(TYPE(I125)&gt;1,TYPE(MATCH(I125,U$11:U$139,0))&gt;1),0,MATCH(I125,U$11:U$139,0))+IF(OR(TYPE(I125)&gt;1,TYPE(MATCH(I125,AA$11:AA$139,0))&gt;1),0,MATCH(I125,AA$11:AA$139,0))</f>
        <v>0</v>
      </c>
      <c r="AO125" s="395">
        <f ca="1">IF(OR(TYPE(O125)&gt;1,TYPE(MATCH(O125,I$11:I$139,0))&gt;1),0,MATCH(O125,I$11:I$139,0))+IF(OR(TYPE(O125)&gt;1,TYPE(MATCH(O125,O126:O$139,0))&gt;1),0,MATCH(O125,O126:O$139,0))+IF(OR(TYPE(O125)&gt;1,TYPE(MATCH(O125,U$11:U$139,0))&gt;1),0,MATCH(O125,U$11:U$139,0))+IF(OR(TYPE(O125)&gt;1,TYPE(MATCH(O125,AA$11:AA$139,0))&gt;1),0,MATCH(O125,AA$11:AA$139,0))</f>
        <v>0</v>
      </c>
      <c r="AP125" s="395">
        <f ca="1">IF(OR(TYPE(U125)&gt;1,TYPE(MATCH(U125,I$11:I$139,0))&gt;1),0,MATCH(U125,I$11:I$139,0))+IF(OR(TYPE(U125)&gt;1,TYPE(MATCH(U125,O$11:O$139,0))&gt;1),0,MATCH(U125,O$11:O$139,0))+IF(OR(TYPE(U125)&gt;1,TYPE(MATCH(U125,U126:U$139,0))&gt;1),0,MATCH(U125,U126:U$139,0))+IF(OR(TYPE(U125)&gt;1,TYPE(MATCH(U125,AA$11:AA$139,0))&gt;1),0,MATCH(U125,AA$11:AA$139,0))</f>
        <v>0</v>
      </c>
      <c r="AQ125" s="395">
        <f ca="1">IF(OR(TYPE(AA125)&gt;1,TYPE(MATCH(AA125,I$11:I$139,0))&gt;1),0,MATCH(AA125,I$11:I$139,0))+IF(OR(TYPE(AA125)&gt;1,TYPE(MATCH(AA125,O$11:O$139,0))&gt;1),0,MATCH(AA125,O$11:O$139,0))+IF(OR(TYPE(AA125)&gt;1,TYPE(MATCH(AA125,U$11:U$139,0))&gt;1),0,MATCH(U125,U$11:U$139,0))+IF(OR(TYPE(AA125)&gt;1,TYPE(MATCH(AA125,AA126:AA$139,0))&gt;1),0,MATCH(AA125,AA126:AA$139,0))</f>
        <v>0</v>
      </c>
      <c r="AR125" s="395">
        <f t="shared" ca="1" si="44"/>
        <v>0</v>
      </c>
      <c r="BF125" s="395">
        <f t="shared" si="45"/>
        <v>115</v>
      </c>
    </row>
    <row r="126" spans="1:58" ht="12.9">
      <c r="A126" s="387">
        <f t="shared" ca="1" si="46"/>
        <v>0</v>
      </c>
      <c r="B126" s="387">
        <f t="shared" ca="1" si="47"/>
        <v>0</v>
      </c>
      <c r="C126" s="387">
        <f t="shared" ca="1" si="48"/>
        <v>0</v>
      </c>
      <c r="D126" s="387">
        <f t="shared" ca="1" si="49"/>
        <v>99999</v>
      </c>
      <c r="E126" s="387">
        <f t="shared" ca="1" si="50"/>
        <v>9999</v>
      </c>
      <c r="F126" s="417" t="str">
        <f t="shared" ca="1" si="51"/>
        <v>00000000000000000000041819</v>
      </c>
      <c r="G126" s="453" t="b">
        <f t="shared" ca="1" si="52"/>
        <v>1</v>
      </c>
      <c r="H126" s="454">
        <f t="shared" si="53"/>
        <v>116</v>
      </c>
      <c r="I126" s="455" t="str">
        <f t="shared" ca="1" si="54"/>
        <v/>
      </c>
      <c r="J126" s="456" t="str">
        <f ca="1">IF(N(I126)&gt;0,VLOOKUP(I126,Hraci!$A$1:$I$1500,2,0),IF(TYPE(INDIRECT(ADDRESS(ROW() + $A$9-9 + (ROW()-11)*4,2,1,1,"Internet")))&gt;1,INDIRECT(ADDRESS(ROW() + $A$9-9 + (ROW()-11)*4,2,1,1,"Internet"))," "))</f>
        <v xml:space="preserve"> </v>
      </c>
      <c r="K126" s="457" t="str">
        <f ca="1">IF(N(I126)&gt;0,VLOOKUP(I126,Hraci!$A$1:$I$1500,3,0)," ")</f>
        <v xml:space="preserve"> </v>
      </c>
      <c r="L126" s="457" t="str">
        <f ca="1">IF(N(I126)&gt;0,VLOOKUP(I126,Hraci!$A$1:$I$1500,5,0),IF(TYPE(INDIRECT(ADDRESS(ROW() + $A$9-9 + (ROW()-11)*4,3,1,1,"Internet")))&gt;1,INDIRECT(ADDRESS(ROW() + $A$9-9 + (ROW()-11)*4,3,1,1,"Internet"))," "))</f>
        <v xml:space="preserve"> </v>
      </c>
      <c r="M126" s="395">
        <f ca="1">IF(N(I126)=0,9999,VLOOKUP(I126,Hraci!$A$1:$I$1500,8,0))</f>
        <v>9999</v>
      </c>
      <c r="N126" s="458">
        <f ca="1">IF(N(I126)=0,0,VLOOKUP(I126,Hraci!$A$1:$I$1500,9,0))</f>
        <v>0</v>
      </c>
      <c r="O126" s="455" t="str">
        <f t="shared" ca="1" si="55"/>
        <v/>
      </c>
      <c r="P126" s="456" t="str">
        <f ca="1">IF(N(O126)&gt;0,VLOOKUP(O126,Hraci!$A$1:$I$1500,2,0),IF(TYPE(INDIRECT(ADDRESS(ROW() + $A$9-8 + (ROW()-11)*4,2,1,1,"Internet")))&gt;1,INDIRECT(ADDRESS(ROW() + $A$9-8 + (ROW()-11)*4,2,1,1,"Internet"))," "))</f>
        <v xml:space="preserve"> </v>
      </c>
      <c r="Q126" s="457" t="str">
        <f ca="1">IF(N(O126)&gt;0,VLOOKUP(O126,Hraci!$A$1:$I$1500,3,0)," ")</f>
        <v xml:space="preserve"> </v>
      </c>
      <c r="R126" s="457" t="str">
        <f ca="1">IF(N(O126)&gt;0,VLOOKUP(O126,Hraci!$A$1:$I$1500,5,0),IF(TYPE(INDIRECT(ADDRESS(ROW() + $A$9-8 + (ROW()-11)*4,3,1,1,"Internet")))&gt;1,INDIRECT(ADDRESS(ROW() + $A$9-8 + (ROW()-11)*4,3,1,1,"Internet"))," "))</f>
        <v xml:space="preserve"> </v>
      </c>
      <c r="S126" s="395">
        <f ca="1">IF(N(O126)=0,9999,VLOOKUP(O126,Hraci!$A$1:$I$1500,8,0))</f>
        <v>9999</v>
      </c>
      <c r="T126" s="458">
        <f ca="1">IF(N(O126)=0,0,VLOOKUP(O126,Hraci!$A$1:$I$1500,9,0))</f>
        <v>0</v>
      </c>
      <c r="U126" s="455" t="str">
        <f t="shared" ca="1" si="56"/>
        <v/>
      </c>
      <c r="V126" s="456" t="str">
        <f ca="1">IF(N(U126)&gt;0,VLOOKUP(U126,Hraci!$A$1:$I$1500,2,0),IF(TYPE(INDIRECT(ADDRESS(ROW() + $A$9-7 + (ROW()-11)*4,2,1,1,"Internet")))&gt;1,INDIRECT(ADDRESS(ROW() + $A$9-7 + (ROW()-11)*4,2,1,1,"Internet"))," "))</f>
        <v xml:space="preserve"> </v>
      </c>
      <c r="W126" s="457" t="str">
        <f ca="1">IF(N(U126)&gt;0,VLOOKUP(U126,Hraci!$A$1:$I$1500,3,0)," ")</f>
        <v xml:space="preserve"> </v>
      </c>
      <c r="X126" s="457" t="str">
        <f ca="1">IF(N(U126)&gt;0,VLOOKUP(U126,Hraci!$A$1:$I$1500,5,0),IF(TYPE(INDIRECT(ADDRESS(ROW() + $A$9-7 + (ROW()-11)*4,3,1,1,"Internet")))&gt;1,INDIRECT(ADDRESS(ROW() + $A$9-7 + (ROW()-11)*4,3,1,1,"Internet"))," "))</f>
        <v xml:space="preserve"> </v>
      </c>
      <c r="Y126" s="395">
        <f ca="1">IF(N(U126)=0,9999,VLOOKUP(U126,Hraci!$A$1:$I$1500,8,0))</f>
        <v>9999</v>
      </c>
      <c r="Z126" s="458">
        <f ca="1">IF(N(U126)=0,0,VLOOKUP(U126,Hraci!$A$1:$I$1500,9,0))</f>
        <v>0</v>
      </c>
      <c r="AA126" s="455" t="str">
        <f t="shared" ca="1" si="57"/>
        <v/>
      </c>
      <c r="AB126" s="456" t="str">
        <f ca="1">IF(N(AA126)&gt;0,VLOOKUP(AA126,Hraci!$A$1:$I$1500,2,0)," ")</f>
        <v xml:space="preserve"> </v>
      </c>
      <c r="AC126" s="457" t="str">
        <f ca="1">IF(N(AA126)&gt;0,VLOOKUP(AA126,Hraci!$A$1:$I$1500,3,0)," ")</f>
        <v xml:space="preserve"> </v>
      </c>
      <c r="AD126" s="457" t="str">
        <f ca="1">IF(N(AA126)&gt;0,VLOOKUP(AA126,Hraci!$A$1:$I$1500,5,0)," ")</f>
        <v xml:space="preserve"> </v>
      </c>
      <c r="AE126" s="395">
        <f ca="1">IF(N(AA126)=0,9999,VLOOKUP(AA126,Hraci!$A$1:$I$1500,8,0))</f>
        <v>9999</v>
      </c>
      <c r="AF126" s="458">
        <f ca="1">IF(N(AA126)=0,0,VLOOKUP(AA126,Hraci!$A$1:$I$1500,9,0))</f>
        <v>0</v>
      </c>
      <c r="AG126" s="459"/>
      <c r="AH126" s="465">
        <f ca="1">IF(TYPE(VLOOKUP(H126,Nasazení!$A$3:$E$130,5,0))&lt;4,VLOOKUP(H126,Nasazení!$A$3:$E$130,5,0),0)</f>
        <v>0</v>
      </c>
      <c r="AI126" s="460" t="str">
        <f ca="1">IF(N($AH126)&gt;0,VLOOKUP($AH126,Body!$A$4:$F$259,5,0),"")</f>
        <v/>
      </c>
      <c r="AJ126" s="461" t="str">
        <f ca="1">IF(N($AH126)&gt;0,VLOOKUP($AH126,Body!$A$4:$F$259,6,0),"")</f>
        <v/>
      </c>
      <c r="AK126" s="460" t="str">
        <f ca="1">IF(N($AH126)&gt;0,VLOOKUP($AH126,Body!$A$4:$F$259,2,0),"")</f>
        <v/>
      </c>
      <c r="AL126" s="462" t="str">
        <f t="shared" ca="1" si="58"/>
        <v/>
      </c>
      <c r="AM126" s="463">
        <f t="shared" ca="1" si="59"/>
        <v>0</v>
      </c>
      <c r="AN126" s="395">
        <f ca="1">IF(OR(TYPE(I126)&gt;1,TYPE(MATCH(I126,I127:I$139,0))&gt;1),0,MATCH(I126,I127:I$139,0))+IF(OR(TYPE(I126)&gt;1,TYPE(MATCH(I126,O$11:O$139,0))&gt;1),0,MATCH(I126,O$11:O$139,0))+IF(OR(TYPE(I126)&gt;1,TYPE(MATCH(I126,U$11:U$139,0))&gt;1),0,MATCH(I126,U$11:U$139,0))+IF(OR(TYPE(I126)&gt;1,TYPE(MATCH(I126,AA$11:AA$139,0))&gt;1),0,MATCH(I126,AA$11:AA$139,0))</f>
        <v>0</v>
      </c>
      <c r="AO126" s="395">
        <f ca="1">IF(OR(TYPE(O126)&gt;1,TYPE(MATCH(O126,I$11:I$139,0))&gt;1),0,MATCH(O126,I$11:I$139,0))+IF(OR(TYPE(O126)&gt;1,TYPE(MATCH(O126,O127:O$139,0))&gt;1),0,MATCH(O126,O127:O$139,0))+IF(OR(TYPE(O126)&gt;1,TYPE(MATCH(O126,U$11:U$139,0))&gt;1),0,MATCH(O126,U$11:U$139,0))+IF(OR(TYPE(O126)&gt;1,TYPE(MATCH(O126,AA$11:AA$139,0))&gt;1),0,MATCH(O126,AA$11:AA$139,0))</f>
        <v>0</v>
      </c>
      <c r="AP126" s="395">
        <f ca="1">IF(OR(TYPE(U126)&gt;1,TYPE(MATCH(U126,I$11:I$139,0))&gt;1),0,MATCH(U126,I$11:I$139,0))+IF(OR(TYPE(U126)&gt;1,TYPE(MATCH(U126,O$11:O$139,0))&gt;1),0,MATCH(U126,O$11:O$139,0))+IF(OR(TYPE(U126)&gt;1,TYPE(MATCH(U126,U127:U$139,0))&gt;1),0,MATCH(U126,U127:U$139,0))+IF(OR(TYPE(U126)&gt;1,TYPE(MATCH(U126,AA$11:AA$139,0))&gt;1),0,MATCH(U126,AA$11:AA$139,0))</f>
        <v>0</v>
      </c>
      <c r="AQ126" s="395">
        <f ca="1">IF(OR(TYPE(AA126)&gt;1,TYPE(MATCH(AA126,I$11:I$139,0))&gt;1),0,MATCH(AA126,I$11:I$139,0))+IF(OR(TYPE(AA126)&gt;1,TYPE(MATCH(AA126,O$11:O$139,0))&gt;1),0,MATCH(AA126,O$11:O$139,0))+IF(OR(TYPE(AA126)&gt;1,TYPE(MATCH(AA126,U$11:U$139,0))&gt;1),0,MATCH(U126,U$11:U$139,0))+IF(OR(TYPE(AA126)&gt;1,TYPE(MATCH(AA126,AA127:AA$139,0))&gt;1),0,MATCH(AA126,AA127:AA$139,0))</f>
        <v>0</v>
      </c>
      <c r="AR126" s="395">
        <f t="shared" ca="1" si="44"/>
        <v>0</v>
      </c>
      <c r="BF126" s="395">
        <f t="shared" si="45"/>
        <v>116</v>
      </c>
    </row>
    <row r="127" spans="1:58" ht="12.9">
      <c r="A127" s="387">
        <f t="shared" ca="1" si="46"/>
        <v>0</v>
      </c>
      <c r="B127" s="387">
        <f t="shared" ca="1" si="47"/>
        <v>0</v>
      </c>
      <c r="C127" s="387">
        <f t="shared" ca="1" si="48"/>
        <v>0</v>
      </c>
      <c r="D127" s="387">
        <f t="shared" ca="1" si="49"/>
        <v>99999</v>
      </c>
      <c r="E127" s="387">
        <f t="shared" ca="1" si="50"/>
        <v>9999</v>
      </c>
      <c r="F127" s="417" t="str">
        <f t="shared" ca="1" si="51"/>
        <v>00000000000000000000268226</v>
      </c>
      <c r="G127" s="453" t="b">
        <f t="shared" ca="1" si="52"/>
        <v>1</v>
      </c>
      <c r="H127" s="454">
        <f t="shared" si="53"/>
        <v>117</v>
      </c>
      <c r="I127" s="455" t="str">
        <f t="shared" ca="1" si="54"/>
        <v/>
      </c>
      <c r="J127" s="456" t="str">
        <f ca="1">IF(N(I127)&gt;0,VLOOKUP(I127,Hraci!$A$1:$I$1500,2,0),IF(TYPE(INDIRECT(ADDRESS(ROW() + $A$9-9 + (ROW()-11)*4,2,1,1,"Internet")))&gt;1,INDIRECT(ADDRESS(ROW() + $A$9-9 + (ROW()-11)*4,2,1,1,"Internet"))," "))</f>
        <v xml:space="preserve"> </v>
      </c>
      <c r="K127" s="457" t="str">
        <f ca="1">IF(N(I127)&gt;0,VLOOKUP(I127,Hraci!$A$1:$I$1500,3,0)," ")</f>
        <v xml:space="preserve"> </v>
      </c>
      <c r="L127" s="457" t="str">
        <f ca="1">IF(N(I127)&gt;0,VLOOKUP(I127,Hraci!$A$1:$I$1500,5,0),IF(TYPE(INDIRECT(ADDRESS(ROW() + $A$9-9 + (ROW()-11)*4,3,1,1,"Internet")))&gt;1,INDIRECT(ADDRESS(ROW() + $A$9-9 + (ROW()-11)*4,3,1,1,"Internet"))," "))</f>
        <v xml:space="preserve"> </v>
      </c>
      <c r="M127" s="395">
        <f ca="1">IF(N(I127)=0,9999,VLOOKUP(I127,Hraci!$A$1:$I$1500,8,0))</f>
        <v>9999</v>
      </c>
      <c r="N127" s="458">
        <f ca="1">IF(N(I127)=0,0,VLOOKUP(I127,Hraci!$A$1:$I$1500,9,0))</f>
        <v>0</v>
      </c>
      <c r="O127" s="455" t="str">
        <f t="shared" ca="1" si="55"/>
        <v/>
      </c>
      <c r="P127" s="456" t="str">
        <f ca="1">IF(N(O127)&gt;0,VLOOKUP(O127,Hraci!$A$1:$I$1500,2,0),IF(TYPE(INDIRECT(ADDRESS(ROW() + $A$9-8 + (ROW()-11)*4,2,1,1,"Internet")))&gt;1,INDIRECT(ADDRESS(ROW() + $A$9-8 + (ROW()-11)*4,2,1,1,"Internet"))," "))</f>
        <v xml:space="preserve"> </v>
      </c>
      <c r="Q127" s="457" t="str">
        <f ca="1">IF(N(O127)&gt;0,VLOOKUP(O127,Hraci!$A$1:$I$1500,3,0)," ")</f>
        <v xml:space="preserve"> </v>
      </c>
      <c r="R127" s="457" t="str">
        <f ca="1">IF(N(O127)&gt;0,VLOOKUP(O127,Hraci!$A$1:$I$1500,5,0),IF(TYPE(INDIRECT(ADDRESS(ROW() + $A$9-8 + (ROW()-11)*4,3,1,1,"Internet")))&gt;1,INDIRECT(ADDRESS(ROW() + $A$9-8 + (ROW()-11)*4,3,1,1,"Internet"))," "))</f>
        <v xml:space="preserve"> </v>
      </c>
      <c r="S127" s="395">
        <f ca="1">IF(N(O127)=0,9999,VLOOKUP(O127,Hraci!$A$1:$I$1500,8,0))</f>
        <v>9999</v>
      </c>
      <c r="T127" s="458">
        <f ca="1">IF(N(O127)=0,0,VLOOKUP(O127,Hraci!$A$1:$I$1500,9,0))</f>
        <v>0</v>
      </c>
      <c r="U127" s="455" t="str">
        <f t="shared" ca="1" si="56"/>
        <v/>
      </c>
      <c r="V127" s="456" t="str">
        <f ca="1">IF(N(U127)&gt;0,VLOOKUP(U127,Hraci!$A$1:$I$1500,2,0),IF(TYPE(INDIRECT(ADDRESS(ROW() + $A$9-7 + (ROW()-11)*4,2,1,1,"Internet")))&gt;1,INDIRECT(ADDRESS(ROW() + $A$9-7 + (ROW()-11)*4,2,1,1,"Internet"))," "))</f>
        <v xml:space="preserve"> </v>
      </c>
      <c r="W127" s="457" t="str">
        <f ca="1">IF(N(U127)&gt;0,VLOOKUP(U127,Hraci!$A$1:$I$1500,3,0)," ")</f>
        <v xml:space="preserve"> </v>
      </c>
      <c r="X127" s="457" t="str">
        <f ca="1">IF(N(U127)&gt;0,VLOOKUP(U127,Hraci!$A$1:$I$1500,5,0),IF(TYPE(INDIRECT(ADDRESS(ROW() + $A$9-7 + (ROW()-11)*4,3,1,1,"Internet")))&gt;1,INDIRECT(ADDRESS(ROW() + $A$9-7 + (ROW()-11)*4,3,1,1,"Internet"))," "))</f>
        <v xml:space="preserve"> </v>
      </c>
      <c r="Y127" s="395">
        <f ca="1">IF(N(U127)=0,9999,VLOOKUP(U127,Hraci!$A$1:$I$1500,8,0))</f>
        <v>9999</v>
      </c>
      <c r="Z127" s="458">
        <f ca="1">IF(N(U127)=0,0,VLOOKUP(U127,Hraci!$A$1:$I$1500,9,0))</f>
        <v>0</v>
      </c>
      <c r="AA127" s="455" t="str">
        <f t="shared" ca="1" si="57"/>
        <v/>
      </c>
      <c r="AB127" s="456" t="str">
        <f ca="1">IF(N(AA127)&gt;0,VLOOKUP(AA127,Hraci!$A$1:$I$1500,2,0)," ")</f>
        <v xml:space="preserve"> </v>
      </c>
      <c r="AC127" s="457" t="str">
        <f ca="1">IF(N(AA127)&gt;0,VLOOKUP(AA127,Hraci!$A$1:$I$1500,3,0)," ")</f>
        <v xml:space="preserve"> </v>
      </c>
      <c r="AD127" s="457" t="str">
        <f ca="1">IF(N(AA127)&gt;0,VLOOKUP(AA127,Hraci!$A$1:$I$1500,5,0)," ")</f>
        <v xml:space="preserve"> </v>
      </c>
      <c r="AE127" s="395">
        <f ca="1">IF(N(AA127)=0,9999,VLOOKUP(AA127,Hraci!$A$1:$I$1500,8,0))</f>
        <v>9999</v>
      </c>
      <c r="AF127" s="458">
        <f ca="1">IF(N(AA127)=0,0,VLOOKUP(AA127,Hraci!$A$1:$I$1500,9,0))</f>
        <v>0</v>
      </c>
      <c r="AG127" s="459"/>
      <c r="AH127" s="465">
        <f ca="1">IF(TYPE(VLOOKUP(H127,Nasazení!$A$3:$E$130,5,0))&lt;4,VLOOKUP(H127,Nasazení!$A$3:$E$130,5,0),0)</f>
        <v>0</v>
      </c>
      <c r="AI127" s="460" t="str">
        <f ca="1">IF(N($AH127)&gt;0,VLOOKUP($AH127,Body!$A$4:$F$259,5,0),"")</f>
        <v/>
      </c>
      <c r="AJ127" s="461" t="str">
        <f ca="1">IF(N($AH127)&gt;0,VLOOKUP($AH127,Body!$A$4:$F$259,6,0),"")</f>
        <v/>
      </c>
      <c r="AK127" s="460" t="str">
        <f ca="1">IF(N($AH127)&gt;0,VLOOKUP($AH127,Body!$A$4:$F$259,2,0),"")</f>
        <v/>
      </c>
      <c r="AL127" s="462" t="str">
        <f t="shared" ca="1" si="58"/>
        <v/>
      </c>
      <c r="AM127" s="463">
        <f t="shared" ca="1" si="59"/>
        <v>0</v>
      </c>
      <c r="AN127" s="395">
        <f ca="1">IF(OR(TYPE(I127)&gt;1,TYPE(MATCH(I127,I128:I$139,0))&gt;1),0,MATCH(I127,I128:I$139,0))+IF(OR(TYPE(I127)&gt;1,TYPE(MATCH(I127,O$11:O$139,0))&gt;1),0,MATCH(I127,O$11:O$139,0))+IF(OR(TYPE(I127)&gt;1,TYPE(MATCH(I127,U$11:U$139,0))&gt;1),0,MATCH(I127,U$11:U$139,0))+IF(OR(TYPE(I127)&gt;1,TYPE(MATCH(I127,AA$11:AA$139,0))&gt;1),0,MATCH(I127,AA$11:AA$139,0))</f>
        <v>0</v>
      </c>
      <c r="AO127" s="395">
        <f ca="1">IF(OR(TYPE(O127)&gt;1,TYPE(MATCH(O127,I$11:I$139,0))&gt;1),0,MATCH(O127,I$11:I$139,0))+IF(OR(TYPE(O127)&gt;1,TYPE(MATCH(O127,O128:O$139,0))&gt;1),0,MATCH(O127,O128:O$139,0))+IF(OR(TYPE(O127)&gt;1,TYPE(MATCH(O127,U$11:U$139,0))&gt;1),0,MATCH(O127,U$11:U$139,0))+IF(OR(TYPE(O127)&gt;1,TYPE(MATCH(O127,AA$11:AA$139,0))&gt;1),0,MATCH(O127,AA$11:AA$139,0))</f>
        <v>0</v>
      </c>
      <c r="AP127" s="395">
        <f ca="1">IF(OR(TYPE(U127)&gt;1,TYPE(MATCH(U127,I$11:I$139,0))&gt;1),0,MATCH(U127,I$11:I$139,0))+IF(OR(TYPE(U127)&gt;1,TYPE(MATCH(U127,O$11:O$139,0))&gt;1),0,MATCH(U127,O$11:O$139,0))+IF(OR(TYPE(U127)&gt;1,TYPE(MATCH(U127,U128:U$139,0))&gt;1),0,MATCH(U127,U128:U$139,0))+IF(OR(TYPE(U127)&gt;1,TYPE(MATCH(U127,AA$11:AA$139,0))&gt;1),0,MATCH(U127,AA$11:AA$139,0))</f>
        <v>0</v>
      </c>
      <c r="AQ127" s="395">
        <f ca="1">IF(OR(TYPE(AA127)&gt;1,TYPE(MATCH(AA127,I$11:I$139,0))&gt;1),0,MATCH(AA127,I$11:I$139,0))+IF(OR(TYPE(AA127)&gt;1,TYPE(MATCH(AA127,O$11:O$139,0))&gt;1),0,MATCH(AA127,O$11:O$139,0))+IF(OR(TYPE(AA127)&gt;1,TYPE(MATCH(AA127,U$11:U$139,0))&gt;1),0,MATCH(U127,U$11:U$139,0))+IF(OR(TYPE(AA127)&gt;1,TYPE(MATCH(AA127,AA128:AA$139,0))&gt;1),0,MATCH(AA127,AA128:AA$139,0))</f>
        <v>0</v>
      </c>
      <c r="AR127" s="395">
        <f t="shared" ca="1" si="44"/>
        <v>0</v>
      </c>
      <c r="BF127" s="395">
        <f t="shared" si="45"/>
        <v>117</v>
      </c>
    </row>
    <row r="128" spans="1:58" ht="12.9">
      <c r="A128" s="387">
        <f t="shared" ca="1" si="46"/>
        <v>0</v>
      </c>
      <c r="B128" s="387">
        <f t="shared" ca="1" si="47"/>
        <v>0</v>
      </c>
      <c r="C128" s="387">
        <f t="shared" ca="1" si="48"/>
        <v>0</v>
      </c>
      <c r="D128" s="387">
        <f t="shared" ca="1" si="49"/>
        <v>99999</v>
      </c>
      <c r="E128" s="387">
        <f t="shared" ca="1" si="50"/>
        <v>9999</v>
      </c>
      <c r="F128" s="417" t="str">
        <f t="shared" ca="1" si="51"/>
        <v>00000000000000000000951907</v>
      </c>
      <c r="G128" s="453" t="b">
        <f t="shared" ca="1" si="52"/>
        <v>1</v>
      </c>
      <c r="H128" s="454">
        <f t="shared" si="53"/>
        <v>118</v>
      </c>
      <c r="I128" s="455" t="str">
        <f t="shared" ca="1" si="54"/>
        <v/>
      </c>
      <c r="J128" s="456" t="str">
        <f ca="1">IF(N(I128)&gt;0,VLOOKUP(I128,Hraci!$A$1:$I$1500,2,0),IF(TYPE(INDIRECT(ADDRESS(ROW() + $A$9-9 + (ROW()-11)*4,2,1,1,"Internet")))&gt;1,INDIRECT(ADDRESS(ROW() + $A$9-9 + (ROW()-11)*4,2,1,1,"Internet"))," "))</f>
        <v xml:space="preserve"> </v>
      </c>
      <c r="K128" s="457" t="str">
        <f ca="1">IF(N(I128)&gt;0,VLOOKUP(I128,Hraci!$A$1:$I$1500,3,0)," ")</f>
        <v xml:space="preserve"> </v>
      </c>
      <c r="L128" s="457" t="str">
        <f ca="1">IF(N(I128)&gt;0,VLOOKUP(I128,Hraci!$A$1:$I$1500,5,0),IF(TYPE(INDIRECT(ADDRESS(ROW() + $A$9-9 + (ROW()-11)*4,3,1,1,"Internet")))&gt;1,INDIRECT(ADDRESS(ROW() + $A$9-9 + (ROW()-11)*4,3,1,1,"Internet"))," "))</f>
        <v xml:space="preserve"> </v>
      </c>
      <c r="M128" s="395">
        <f ca="1">IF(N(I128)=0,9999,VLOOKUP(I128,Hraci!$A$1:$I$1500,8,0))</f>
        <v>9999</v>
      </c>
      <c r="N128" s="458">
        <f ca="1">IF(N(I128)=0,0,VLOOKUP(I128,Hraci!$A$1:$I$1500,9,0))</f>
        <v>0</v>
      </c>
      <c r="O128" s="455" t="str">
        <f t="shared" ca="1" si="55"/>
        <v/>
      </c>
      <c r="P128" s="456" t="str">
        <f ca="1">IF(N(O128)&gt;0,VLOOKUP(O128,Hraci!$A$1:$I$1500,2,0),IF(TYPE(INDIRECT(ADDRESS(ROW() + $A$9-8 + (ROW()-11)*4,2,1,1,"Internet")))&gt;1,INDIRECT(ADDRESS(ROW() + $A$9-8 + (ROW()-11)*4,2,1,1,"Internet"))," "))</f>
        <v xml:space="preserve"> </v>
      </c>
      <c r="Q128" s="457" t="str">
        <f ca="1">IF(N(O128)&gt;0,VLOOKUP(O128,Hraci!$A$1:$I$1500,3,0)," ")</f>
        <v xml:space="preserve"> </v>
      </c>
      <c r="R128" s="457" t="str">
        <f ca="1">IF(N(O128)&gt;0,VLOOKUP(O128,Hraci!$A$1:$I$1500,5,0),IF(TYPE(INDIRECT(ADDRESS(ROW() + $A$9-8 + (ROW()-11)*4,3,1,1,"Internet")))&gt;1,INDIRECT(ADDRESS(ROW() + $A$9-8 + (ROW()-11)*4,3,1,1,"Internet"))," "))</f>
        <v xml:space="preserve"> </v>
      </c>
      <c r="S128" s="395">
        <f ca="1">IF(N(O128)=0,9999,VLOOKUP(O128,Hraci!$A$1:$I$1500,8,0))</f>
        <v>9999</v>
      </c>
      <c r="T128" s="458">
        <f ca="1">IF(N(O128)=0,0,VLOOKUP(O128,Hraci!$A$1:$I$1500,9,0))</f>
        <v>0</v>
      </c>
      <c r="U128" s="455" t="str">
        <f t="shared" ca="1" si="56"/>
        <v/>
      </c>
      <c r="V128" s="456" t="str">
        <f ca="1">IF(N(U128)&gt;0,VLOOKUP(U128,Hraci!$A$1:$I$1500,2,0),IF(TYPE(INDIRECT(ADDRESS(ROW() + $A$9-7 + (ROW()-11)*4,2,1,1,"Internet")))&gt;1,INDIRECT(ADDRESS(ROW() + $A$9-7 + (ROW()-11)*4,2,1,1,"Internet"))," "))</f>
        <v xml:space="preserve"> </v>
      </c>
      <c r="W128" s="457" t="str">
        <f ca="1">IF(N(U128)&gt;0,VLOOKUP(U128,Hraci!$A$1:$I$1500,3,0)," ")</f>
        <v xml:space="preserve"> </v>
      </c>
      <c r="X128" s="457" t="str">
        <f ca="1">IF(N(U128)&gt;0,VLOOKUP(U128,Hraci!$A$1:$I$1500,5,0),IF(TYPE(INDIRECT(ADDRESS(ROW() + $A$9-7 + (ROW()-11)*4,3,1,1,"Internet")))&gt;1,INDIRECT(ADDRESS(ROW() + $A$9-7 + (ROW()-11)*4,3,1,1,"Internet"))," "))</f>
        <v xml:space="preserve"> </v>
      </c>
      <c r="Y128" s="395">
        <f ca="1">IF(N(U128)=0,9999,VLOOKUP(U128,Hraci!$A$1:$I$1500,8,0))</f>
        <v>9999</v>
      </c>
      <c r="Z128" s="458">
        <f ca="1">IF(N(U128)=0,0,VLOOKUP(U128,Hraci!$A$1:$I$1500,9,0))</f>
        <v>0</v>
      </c>
      <c r="AA128" s="455" t="str">
        <f t="shared" ca="1" si="57"/>
        <v/>
      </c>
      <c r="AB128" s="456" t="str">
        <f ca="1">IF(N(AA128)&gt;0,VLOOKUP(AA128,Hraci!$A$1:$I$1500,2,0)," ")</f>
        <v xml:space="preserve"> </v>
      </c>
      <c r="AC128" s="457" t="str">
        <f ca="1">IF(N(AA128)&gt;0,VLOOKUP(AA128,Hraci!$A$1:$I$1500,3,0)," ")</f>
        <v xml:space="preserve"> </v>
      </c>
      <c r="AD128" s="457" t="str">
        <f ca="1">IF(N(AA128)&gt;0,VLOOKUP(AA128,Hraci!$A$1:$I$1500,5,0)," ")</f>
        <v xml:space="preserve"> </v>
      </c>
      <c r="AE128" s="395">
        <f ca="1">IF(N(AA128)=0,9999,VLOOKUP(AA128,Hraci!$A$1:$I$1500,8,0))</f>
        <v>9999</v>
      </c>
      <c r="AF128" s="458">
        <f ca="1">IF(N(AA128)=0,0,VLOOKUP(AA128,Hraci!$A$1:$I$1500,9,0))</f>
        <v>0</v>
      </c>
      <c r="AG128" s="459"/>
      <c r="AH128" s="465">
        <f ca="1">IF(TYPE(VLOOKUP(H128,Nasazení!$A$3:$E$130,5,0))&lt;4,VLOOKUP(H128,Nasazení!$A$3:$E$130,5,0),0)</f>
        <v>0</v>
      </c>
      <c r="AI128" s="460" t="str">
        <f ca="1">IF(N($AH128)&gt;0,VLOOKUP($AH128,Body!$A$4:$F$259,5,0),"")</f>
        <v/>
      </c>
      <c r="AJ128" s="461" t="str">
        <f ca="1">IF(N($AH128)&gt;0,VLOOKUP($AH128,Body!$A$4:$F$259,6,0),"")</f>
        <v/>
      </c>
      <c r="AK128" s="460" t="str">
        <f ca="1">IF(N($AH128)&gt;0,VLOOKUP($AH128,Body!$A$4:$F$259,2,0),"")</f>
        <v/>
      </c>
      <c r="AL128" s="462" t="str">
        <f t="shared" ca="1" si="58"/>
        <v/>
      </c>
      <c r="AM128" s="463">
        <f t="shared" ca="1" si="59"/>
        <v>0</v>
      </c>
      <c r="AN128" s="395">
        <f ca="1">IF(OR(TYPE(I128)&gt;1,TYPE(MATCH(I128,I129:I$139,0))&gt;1),0,MATCH(I128,I129:I$139,0))+IF(OR(TYPE(I128)&gt;1,TYPE(MATCH(I128,O$11:O$139,0))&gt;1),0,MATCH(I128,O$11:O$139,0))+IF(OR(TYPE(I128)&gt;1,TYPE(MATCH(I128,U$11:U$139,0))&gt;1),0,MATCH(I128,U$11:U$139,0))+IF(OR(TYPE(I128)&gt;1,TYPE(MATCH(I128,AA$11:AA$139,0))&gt;1),0,MATCH(I128,AA$11:AA$139,0))</f>
        <v>0</v>
      </c>
      <c r="AO128" s="395">
        <f ca="1">IF(OR(TYPE(O128)&gt;1,TYPE(MATCH(O128,I$11:I$139,0))&gt;1),0,MATCH(O128,I$11:I$139,0))+IF(OR(TYPE(O128)&gt;1,TYPE(MATCH(O128,O129:O$139,0))&gt;1),0,MATCH(O128,O129:O$139,0))+IF(OR(TYPE(O128)&gt;1,TYPE(MATCH(O128,U$11:U$139,0))&gt;1),0,MATCH(O128,U$11:U$139,0))+IF(OR(TYPE(O128)&gt;1,TYPE(MATCH(O128,AA$11:AA$139,0))&gt;1),0,MATCH(O128,AA$11:AA$139,0))</f>
        <v>0</v>
      </c>
      <c r="AP128" s="395">
        <f ca="1">IF(OR(TYPE(U128)&gt;1,TYPE(MATCH(U128,I$11:I$139,0))&gt;1),0,MATCH(U128,I$11:I$139,0))+IF(OR(TYPE(U128)&gt;1,TYPE(MATCH(U128,O$11:O$139,0))&gt;1),0,MATCH(U128,O$11:O$139,0))+IF(OR(TYPE(U128)&gt;1,TYPE(MATCH(U128,U129:U$139,0))&gt;1),0,MATCH(U128,U129:U$139,0))+IF(OR(TYPE(U128)&gt;1,TYPE(MATCH(U128,AA$11:AA$139,0))&gt;1),0,MATCH(U128,AA$11:AA$139,0))</f>
        <v>0</v>
      </c>
      <c r="AQ128" s="395">
        <f ca="1">IF(OR(TYPE(AA128)&gt;1,TYPE(MATCH(AA128,I$11:I$139,0))&gt;1),0,MATCH(AA128,I$11:I$139,0))+IF(OR(TYPE(AA128)&gt;1,TYPE(MATCH(AA128,O$11:O$139,0))&gt;1),0,MATCH(AA128,O$11:O$139,0))+IF(OR(TYPE(AA128)&gt;1,TYPE(MATCH(AA128,U$11:U$139,0))&gt;1),0,MATCH(U128,U$11:U$139,0))+IF(OR(TYPE(AA128)&gt;1,TYPE(MATCH(AA128,AA129:AA$139,0))&gt;1),0,MATCH(AA128,AA129:AA$139,0))</f>
        <v>0</v>
      </c>
      <c r="AR128" s="395">
        <f t="shared" ca="1" si="44"/>
        <v>0</v>
      </c>
      <c r="BF128" s="395">
        <f t="shared" si="45"/>
        <v>118</v>
      </c>
    </row>
    <row r="129" spans="1:58" ht="12.9">
      <c r="A129" s="387">
        <f t="shared" ca="1" si="46"/>
        <v>0</v>
      </c>
      <c r="B129" s="387">
        <f t="shared" ca="1" si="47"/>
        <v>0</v>
      </c>
      <c r="C129" s="387">
        <f t="shared" ca="1" si="48"/>
        <v>0</v>
      </c>
      <c r="D129" s="387">
        <f t="shared" ca="1" si="49"/>
        <v>99999</v>
      </c>
      <c r="E129" s="387">
        <f t="shared" ca="1" si="50"/>
        <v>9999</v>
      </c>
      <c r="F129" s="417" t="str">
        <f t="shared" ca="1" si="51"/>
        <v>00000000000000000000631663</v>
      </c>
      <c r="G129" s="453" t="b">
        <f t="shared" ca="1" si="52"/>
        <v>1</v>
      </c>
      <c r="H129" s="454">
        <f t="shared" si="53"/>
        <v>119</v>
      </c>
      <c r="I129" s="455" t="str">
        <f t="shared" ca="1" si="54"/>
        <v/>
      </c>
      <c r="J129" s="456" t="str">
        <f ca="1">IF(N(I129)&gt;0,VLOOKUP(I129,Hraci!$A$1:$I$1500,2,0),IF(TYPE(INDIRECT(ADDRESS(ROW() + $A$9-9 + (ROW()-11)*4,2,1,1,"Internet")))&gt;1,INDIRECT(ADDRESS(ROW() + $A$9-9 + (ROW()-11)*4,2,1,1,"Internet"))," "))</f>
        <v xml:space="preserve"> </v>
      </c>
      <c r="K129" s="457" t="str">
        <f ca="1">IF(N(I129)&gt;0,VLOOKUP(I129,Hraci!$A$1:$I$1500,3,0)," ")</f>
        <v xml:space="preserve"> </v>
      </c>
      <c r="L129" s="457" t="str">
        <f ca="1">IF(N(I129)&gt;0,VLOOKUP(I129,Hraci!$A$1:$I$1500,5,0),IF(TYPE(INDIRECT(ADDRESS(ROW() + $A$9-9 + (ROW()-11)*4,3,1,1,"Internet")))&gt;1,INDIRECT(ADDRESS(ROW() + $A$9-9 + (ROW()-11)*4,3,1,1,"Internet"))," "))</f>
        <v xml:space="preserve"> </v>
      </c>
      <c r="M129" s="395">
        <f ca="1">IF(N(I129)=0,9999,VLOOKUP(I129,Hraci!$A$1:$I$1500,8,0))</f>
        <v>9999</v>
      </c>
      <c r="N129" s="458">
        <f ca="1">IF(N(I129)=0,0,VLOOKUP(I129,Hraci!$A$1:$I$1500,9,0))</f>
        <v>0</v>
      </c>
      <c r="O129" s="455" t="str">
        <f t="shared" ca="1" si="55"/>
        <v/>
      </c>
      <c r="P129" s="456" t="str">
        <f ca="1">IF(N(O129)&gt;0,VLOOKUP(O129,Hraci!$A$1:$I$1500,2,0),IF(TYPE(INDIRECT(ADDRESS(ROW() + $A$9-8 + (ROW()-11)*4,2,1,1,"Internet")))&gt;1,INDIRECT(ADDRESS(ROW() + $A$9-8 + (ROW()-11)*4,2,1,1,"Internet"))," "))</f>
        <v xml:space="preserve"> </v>
      </c>
      <c r="Q129" s="457" t="str">
        <f ca="1">IF(N(O129)&gt;0,VLOOKUP(O129,Hraci!$A$1:$I$1500,3,0)," ")</f>
        <v xml:space="preserve"> </v>
      </c>
      <c r="R129" s="457" t="str">
        <f ca="1">IF(N(O129)&gt;0,VLOOKUP(O129,Hraci!$A$1:$I$1500,5,0),IF(TYPE(INDIRECT(ADDRESS(ROW() + $A$9-8 + (ROW()-11)*4,3,1,1,"Internet")))&gt;1,INDIRECT(ADDRESS(ROW() + $A$9-8 + (ROW()-11)*4,3,1,1,"Internet"))," "))</f>
        <v xml:space="preserve"> </v>
      </c>
      <c r="S129" s="395">
        <f ca="1">IF(N(O129)=0,9999,VLOOKUP(O129,Hraci!$A$1:$I$1500,8,0))</f>
        <v>9999</v>
      </c>
      <c r="T129" s="458">
        <f ca="1">IF(N(O129)=0,0,VLOOKUP(O129,Hraci!$A$1:$I$1500,9,0))</f>
        <v>0</v>
      </c>
      <c r="U129" s="455" t="str">
        <f t="shared" ca="1" si="56"/>
        <v/>
      </c>
      <c r="V129" s="456" t="str">
        <f ca="1">IF(N(U129)&gt;0,VLOOKUP(U129,Hraci!$A$1:$I$1500,2,0),IF(TYPE(INDIRECT(ADDRESS(ROW() + $A$9-7 + (ROW()-11)*4,2,1,1,"Internet")))&gt;1,INDIRECT(ADDRESS(ROW() + $A$9-7 + (ROW()-11)*4,2,1,1,"Internet"))," "))</f>
        <v xml:space="preserve"> </v>
      </c>
      <c r="W129" s="457" t="str">
        <f ca="1">IF(N(U129)&gt;0,VLOOKUP(U129,Hraci!$A$1:$I$1500,3,0)," ")</f>
        <v xml:space="preserve"> </v>
      </c>
      <c r="X129" s="457" t="str">
        <f ca="1">IF(N(U129)&gt;0,VLOOKUP(U129,Hraci!$A$1:$I$1500,5,0),IF(TYPE(INDIRECT(ADDRESS(ROW() + $A$9-7 + (ROW()-11)*4,3,1,1,"Internet")))&gt;1,INDIRECT(ADDRESS(ROW() + $A$9-7 + (ROW()-11)*4,3,1,1,"Internet"))," "))</f>
        <v xml:space="preserve"> </v>
      </c>
      <c r="Y129" s="395">
        <f ca="1">IF(N(U129)=0,9999,VLOOKUP(U129,Hraci!$A$1:$I$1500,8,0))</f>
        <v>9999</v>
      </c>
      <c r="Z129" s="458">
        <f ca="1">IF(N(U129)=0,0,VLOOKUP(U129,Hraci!$A$1:$I$1500,9,0))</f>
        <v>0</v>
      </c>
      <c r="AA129" s="455" t="str">
        <f t="shared" ca="1" si="57"/>
        <v/>
      </c>
      <c r="AB129" s="456" t="str">
        <f ca="1">IF(N(AA129)&gt;0,VLOOKUP(AA129,Hraci!$A$1:$I$1500,2,0)," ")</f>
        <v xml:space="preserve"> </v>
      </c>
      <c r="AC129" s="457" t="str">
        <f ca="1">IF(N(AA129)&gt;0,VLOOKUP(AA129,Hraci!$A$1:$I$1500,3,0)," ")</f>
        <v xml:space="preserve"> </v>
      </c>
      <c r="AD129" s="457" t="str">
        <f ca="1">IF(N(AA129)&gt;0,VLOOKUP(AA129,Hraci!$A$1:$I$1500,5,0)," ")</f>
        <v xml:space="preserve"> </v>
      </c>
      <c r="AE129" s="395">
        <f ca="1">IF(N(AA129)=0,9999,VLOOKUP(AA129,Hraci!$A$1:$I$1500,8,0))</f>
        <v>9999</v>
      </c>
      <c r="AF129" s="458">
        <f ca="1">IF(N(AA129)=0,0,VLOOKUP(AA129,Hraci!$A$1:$I$1500,9,0))</f>
        <v>0</v>
      </c>
      <c r="AG129" s="459"/>
      <c r="AH129" s="465">
        <f ca="1">IF(TYPE(VLOOKUP(H129,Nasazení!$A$3:$E$130,5,0))&lt;4,VLOOKUP(H129,Nasazení!$A$3:$E$130,5,0),0)</f>
        <v>0</v>
      </c>
      <c r="AI129" s="460" t="str">
        <f ca="1">IF(N($AH129)&gt;0,VLOOKUP($AH129,Body!$A$4:$F$259,5,0),"")</f>
        <v/>
      </c>
      <c r="AJ129" s="461" t="str">
        <f ca="1">IF(N($AH129)&gt;0,VLOOKUP($AH129,Body!$A$4:$F$259,6,0),"")</f>
        <v/>
      </c>
      <c r="AK129" s="460" t="str">
        <f ca="1">IF(N($AH129)&gt;0,VLOOKUP($AH129,Body!$A$4:$F$259,2,0),"")</f>
        <v/>
      </c>
      <c r="AL129" s="462" t="str">
        <f t="shared" ca="1" si="58"/>
        <v/>
      </c>
      <c r="AM129" s="463">
        <f t="shared" ca="1" si="59"/>
        <v>0</v>
      </c>
      <c r="AN129" s="395">
        <f ca="1">IF(OR(TYPE(I129)&gt;1,TYPE(MATCH(I129,I130:I$139,0))&gt;1),0,MATCH(I129,I130:I$139,0))+IF(OR(TYPE(I129)&gt;1,TYPE(MATCH(I129,O$11:O$139,0))&gt;1),0,MATCH(I129,O$11:O$139,0))+IF(OR(TYPE(I129)&gt;1,TYPE(MATCH(I129,U$11:U$139,0))&gt;1),0,MATCH(I129,U$11:U$139,0))+IF(OR(TYPE(I129)&gt;1,TYPE(MATCH(I129,AA$11:AA$139,0))&gt;1),0,MATCH(I129,AA$11:AA$139,0))</f>
        <v>0</v>
      </c>
      <c r="AO129" s="395">
        <f ca="1">IF(OR(TYPE(O129)&gt;1,TYPE(MATCH(O129,I$11:I$139,0))&gt;1),0,MATCH(O129,I$11:I$139,0))+IF(OR(TYPE(O129)&gt;1,TYPE(MATCH(O129,O130:O$139,0))&gt;1),0,MATCH(O129,O130:O$139,0))+IF(OR(TYPE(O129)&gt;1,TYPE(MATCH(O129,U$11:U$139,0))&gt;1),0,MATCH(O129,U$11:U$139,0))+IF(OR(TYPE(O129)&gt;1,TYPE(MATCH(O129,AA$11:AA$139,0))&gt;1),0,MATCH(O129,AA$11:AA$139,0))</f>
        <v>0</v>
      </c>
      <c r="AP129" s="395">
        <f ca="1">IF(OR(TYPE(U129)&gt;1,TYPE(MATCH(U129,I$11:I$139,0))&gt;1),0,MATCH(U129,I$11:I$139,0))+IF(OR(TYPE(U129)&gt;1,TYPE(MATCH(U129,O$11:O$139,0))&gt;1),0,MATCH(U129,O$11:O$139,0))+IF(OR(TYPE(U129)&gt;1,TYPE(MATCH(U129,U130:U$139,0))&gt;1),0,MATCH(U129,U130:U$139,0))+IF(OR(TYPE(U129)&gt;1,TYPE(MATCH(U129,AA$11:AA$139,0))&gt;1),0,MATCH(U129,AA$11:AA$139,0))</f>
        <v>0</v>
      </c>
      <c r="AQ129" s="395">
        <f ca="1">IF(OR(TYPE(AA129)&gt;1,TYPE(MATCH(AA129,I$11:I$139,0))&gt;1),0,MATCH(AA129,I$11:I$139,0))+IF(OR(TYPE(AA129)&gt;1,TYPE(MATCH(AA129,O$11:O$139,0))&gt;1),0,MATCH(AA129,O$11:O$139,0))+IF(OR(TYPE(AA129)&gt;1,TYPE(MATCH(AA129,U$11:U$139,0))&gt;1),0,MATCH(U129,U$11:U$139,0))+IF(OR(TYPE(AA129)&gt;1,TYPE(MATCH(AA129,AA130:AA$139,0))&gt;1),0,MATCH(AA129,AA130:AA$139,0))</f>
        <v>0</v>
      </c>
      <c r="AR129" s="395">
        <f t="shared" ca="1" si="44"/>
        <v>0</v>
      </c>
      <c r="BF129" s="395">
        <f t="shared" si="45"/>
        <v>119</v>
      </c>
    </row>
    <row r="130" spans="1:58" ht="12.9">
      <c r="A130" s="387">
        <f t="shared" ca="1" si="46"/>
        <v>0</v>
      </c>
      <c r="B130" s="387">
        <f t="shared" ca="1" si="47"/>
        <v>0</v>
      </c>
      <c r="C130" s="387">
        <f t="shared" ca="1" si="48"/>
        <v>0</v>
      </c>
      <c r="D130" s="387">
        <f t="shared" ca="1" si="49"/>
        <v>99999</v>
      </c>
      <c r="E130" s="387">
        <f t="shared" ca="1" si="50"/>
        <v>9999</v>
      </c>
      <c r="F130" s="417" t="str">
        <f t="shared" ca="1" si="51"/>
        <v>00000000000000000000534817</v>
      </c>
      <c r="G130" s="453" t="b">
        <f t="shared" ca="1" si="52"/>
        <v>1</v>
      </c>
      <c r="H130" s="454">
        <f t="shared" si="53"/>
        <v>120</v>
      </c>
      <c r="I130" s="455" t="str">
        <f t="shared" ca="1" si="54"/>
        <v/>
      </c>
      <c r="J130" s="456" t="str">
        <f ca="1">IF(N(I130)&gt;0,VLOOKUP(I130,Hraci!$A$1:$I$1500,2,0),IF(TYPE(INDIRECT(ADDRESS(ROW() + $A$9-9 + (ROW()-11)*4,2,1,1,"Internet")))&gt;1,INDIRECT(ADDRESS(ROW() + $A$9-9 + (ROW()-11)*4,2,1,1,"Internet"))," "))</f>
        <v xml:space="preserve"> </v>
      </c>
      <c r="K130" s="457" t="str">
        <f ca="1">IF(N(I130)&gt;0,VLOOKUP(I130,Hraci!$A$1:$I$1500,3,0)," ")</f>
        <v xml:space="preserve"> </v>
      </c>
      <c r="L130" s="457" t="str">
        <f ca="1">IF(N(I130)&gt;0,VLOOKUP(I130,Hraci!$A$1:$I$1500,5,0),IF(TYPE(INDIRECT(ADDRESS(ROW() + $A$9-9 + (ROW()-11)*4,3,1,1,"Internet")))&gt;1,INDIRECT(ADDRESS(ROW() + $A$9-9 + (ROW()-11)*4,3,1,1,"Internet"))," "))</f>
        <v xml:space="preserve"> </v>
      </c>
      <c r="M130" s="395">
        <f ca="1">IF(N(I130)=0,9999,VLOOKUP(I130,Hraci!$A$1:$I$1500,8,0))</f>
        <v>9999</v>
      </c>
      <c r="N130" s="458">
        <f ca="1">IF(N(I130)=0,0,VLOOKUP(I130,Hraci!$A$1:$I$1500,9,0))</f>
        <v>0</v>
      </c>
      <c r="O130" s="455" t="str">
        <f t="shared" ca="1" si="55"/>
        <v/>
      </c>
      <c r="P130" s="456" t="str">
        <f ca="1">IF(N(O130)&gt;0,VLOOKUP(O130,Hraci!$A$1:$I$1500,2,0),IF(TYPE(INDIRECT(ADDRESS(ROW() + $A$9-8 + (ROW()-11)*4,2,1,1,"Internet")))&gt;1,INDIRECT(ADDRESS(ROW() + $A$9-8 + (ROW()-11)*4,2,1,1,"Internet"))," "))</f>
        <v xml:space="preserve"> </v>
      </c>
      <c r="Q130" s="457" t="str">
        <f ca="1">IF(N(O130)&gt;0,VLOOKUP(O130,Hraci!$A$1:$I$1500,3,0)," ")</f>
        <v xml:space="preserve"> </v>
      </c>
      <c r="R130" s="457" t="str">
        <f ca="1">IF(N(O130)&gt;0,VLOOKUP(O130,Hraci!$A$1:$I$1500,5,0),IF(TYPE(INDIRECT(ADDRESS(ROW() + $A$9-8 + (ROW()-11)*4,3,1,1,"Internet")))&gt;1,INDIRECT(ADDRESS(ROW() + $A$9-8 + (ROW()-11)*4,3,1,1,"Internet"))," "))</f>
        <v xml:space="preserve"> </v>
      </c>
      <c r="S130" s="395">
        <f ca="1">IF(N(O130)=0,9999,VLOOKUP(O130,Hraci!$A$1:$I$1500,8,0))</f>
        <v>9999</v>
      </c>
      <c r="T130" s="458">
        <f ca="1">IF(N(O130)=0,0,VLOOKUP(O130,Hraci!$A$1:$I$1500,9,0))</f>
        <v>0</v>
      </c>
      <c r="U130" s="455" t="str">
        <f t="shared" ca="1" si="56"/>
        <v/>
      </c>
      <c r="V130" s="456" t="str">
        <f ca="1">IF(N(U130)&gt;0,VLOOKUP(U130,Hraci!$A$1:$I$1500,2,0),IF(TYPE(INDIRECT(ADDRESS(ROW() + $A$9-7 + (ROW()-11)*4,2,1,1,"Internet")))&gt;1,INDIRECT(ADDRESS(ROW() + $A$9-7 + (ROW()-11)*4,2,1,1,"Internet"))," "))</f>
        <v xml:space="preserve"> </v>
      </c>
      <c r="W130" s="457" t="str">
        <f ca="1">IF(N(U130)&gt;0,VLOOKUP(U130,Hraci!$A$1:$I$1500,3,0)," ")</f>
        <v xml:space="preserve"> </v>
      </c>
      <c r="X130" s="457" t="str">
        <f ca="1">IF(N(U130)&gt;0,VLOOKUP(U130,Hraci!$A$1:$I$1500,5,0),IF(TYPE(INDIRECT(ADDRESS(ROW() + $A$9-7 + (ROW()-11)*4,3,1,1,"Internet")))&gt;1,INDIRECT(ADDRESS(ROW() + $A$9-7 + (ROW()-11)*4,3,1,1,"Internet"))," "))</f>
        <v xml:space="preserve"> </v>
      </c>
      <c r="Y130" s="395">
        <f ca="1">IF(N(U130)=0,9999,VLOOKUP(U130,Hraci!$A$1:$I$1500,8,0))</f>
        <v>9999</v>
      </c>
      <c r="Z130" s="458">
        <f ca="1">IF(N(U130)=0,0,VLOOKUP(U130,Hraci!$A$1:$I$1500,9,0))</f>
        <v>0</v>
      </c>
      <c r="AA130" s="455" t="str">
        <f t="shared" ca="1" si="57"/>
        <v/>
      </c>
      <c r="AB130" s="456" t="str">
        <f ca="1">IF(N(AA130)&gt;0,VLOOKUP(AA130,Hraci!$A$1:$I$1500,2,0)," ")</f>
        <v xml:space="preserve"> </v>
      </c>
      <c r="AC130" s="457" t="str">
        <f ca="1">IF(N(AA130)&gt;0,VLOOKUP(AA130,Hraci!$A$1:$I$1500,3,0)," ")</f>
        <v xml:space="preserve"> </v>
      </c>
      <c r="AD130" s="457" t="str">
        <f ca="1">IF(N(AA130)&gt;0,VLOOKUP(AA130,Hraci!$A$1:$I$1500,5,0)," ")</f>
        <v xml:space="preserve"> </v>
      </c>
      <c r="AE130" s="395">
        <f ca="1">IF(N(AA130)=0,9999,VLOOKUP(AA130,Hraci!$A$1:$I$1500,8,0))</f>
        <v>9999</v>
      </c>
      <c r="AF130" s="458">
        <f ca="1">IF(N(AA130)=0,0,VLOOKUP(AA130,Hraci!$A$1:$I$1500,9,0))</f>
        <v>0</v>
      </c>
      <c r="AG130" s="459"/>
      <c r="AH130" s="465">
        <f ca="1">IF(TYPE(VLOOKUP(H130,Nasazení!$A$3:$E$130,5,0))&lt;4,VLOOKUP(H130,Nasazení!$A$3:$E$130,5,0),0)</f>
        <v>0</v>
      </c>
      <c r="AI130" s="460" t="str">
        <f ca="1">IF(N($AH130)&gt;0,VLOOKUP($AH130,Body!$A$4:$F$259,5,0),"")</f>
        <v/>
      </c>
      <c r="AJ130" s="461" t="str">
        <f ca="1">IF(N($AH130)&gt;0,VLOOKUP($AH130,Body!$A$4:$F$259,6,0),"")</f>
        <v/>
      </c>
      <c r="AK130" s="460" t="str">
        <f ca="1">IF(N($AH130)&gt;0,VLOOKUP($AH130,Body!$A$4:$F$259,2,0),"")</f>
        <v/>
      </c>
      <c r="AL130" s="462" t="str">
        <f t="shared" ca="1" si="58"/>
        <v/>
      </c>
      <c r="AM130" s="463">
        <f t="shared" ca="1" si="59"/>
        <v>0</v>
      </c>
      <c r="AN130" s="395">
        <f ca="1">IF(OR(TYPE(I130)&gt;1,TYPE(MATCH(I130,I131:I$139,0))&gt;1),0,MATCH(I130,I131:I$139,0))+IF(OR(TYPE(I130)&gt;1,TYPE(MATCH(I130,O$11:O$139,0))&gt;1),0,MATCH(I130,O$11:O$139,0))+IF(OR(TYPE(I130)&gt;1,TYPE(MATCH(I130,U$11:U$139,0))&gt;1),0,MATCH(I130,U$11:U$139,0))+IF(OR(TYPE(I130)&gt;1,TYPE(MATCH(I130,AA$11:AA$139,0))&gt;1),0,MATCH(I130,AA$11:AA$139,0))</f>
        <v>0</v>
      </c>
      <c r="AO130" s="395">
        <f ca="1">IF(OR(TYPE(O130)&gt;1,TYPE(MATCH(O130,I$11:I$139,0))&gt;1),0,MATCH(O130,I$11:I$139,0))+IF(OR(TYPE(O130)&gt;1,TYPE(MATCH(O130,O131:O$139,0))&gt;1),0,MATCH(O130,O131:O$139,0))+IF(OR(TYPE(O130)&gt;1,TYPE(MATCH(O130,U$11:U$139,0))&gt;1),0,MATCH(O130,U$11:U$139,0))+IF(OR(TYPE(O130)&gt;1,TYPE(MATCH(O130,AA$11:AA$139,0))&gt;1),0,MATCH(O130,AA$11:AA$139,0))</f>
        <v>0</v>
      </c>
      <c r="AP130" s="395">
        <f ca="1">IF(OR(TYPE(U130)&gt;1,TYPE(MATCH(U130,I$11:I$139,0))&gt;1),0,MATCH(U130,I$11:I$139,0))+IF(OR(TYPE(U130)&gt;1,TYPE(MATCH(U130,O$11:O$139,0))&gt;1),0,MATCH(U130,O$11:O$139,0))+IF(OR(TYPE(U130)&gt;1,TYPE(MATCH(U130,U131:U$139,0))&gt;1),0,MATCH(U130,U131:U$139,0))+IF(OR(TYPE(U130)&gt;1,TYPE(MATCH(U130,AA$11:AA$139,0))&gt;1),0,MATCH(U130,AA$11:AA$139,0))</f>
        <v>0</v>
      </c>
      <c r="AQ130" s="395">
        <f ca="1">IF(OR(TYPE(AA130)&gt;1,TYPE(MATCH(AA130,I$11:I$139,0))&gt;1),0,MATCH(AA130,I$11:I$139,0))+IF(OR(TYPE(AA130)&gt;1,TYPE(MATCH(AA130,O$11:O$139,0))&gt;1),0,MATCH(AA130,O$11:O$139,0))+IF(OR(TYPE(AA130)&gt;1,TYPE(MATCH(AA130,U$11:U$139,0))&gt;1),0,MATCH(U130,U$11:U$139,0))+IF(OR(TYPE(AA130)&gt;1,TYPE(MATCH(AA130,AA131:AA$139,0))&gt;1),0,MATCH(AA130,AA131:AA$139,0))</f>
        <v>0</v>
      </c>
      <c r="AR130" s="395">
        <f t="shared" ca="1" si="44"/>
        <v>0</v>
      </c>
      <c r="BF130" s="395">
        <f t="shared" si="45"/>
        <v>120</v>
      </c>
    </row>
    <row r="131" spans="1:58" ht="12.9">
      <c r="A131" s="387">
        <f t="shared" ca="1" si="46"/>
        <v>0</v>
      </c>
      <c r="B131" s="387">
        <f t="shared" ca="1" si="47"/>
        <v>0</v>
      </c>
      <c r="C131" s="387">
        <f t="shared" ca="1" si="48"/>
        <v>0</v>
      </c>
      <c r="D131" s="387">
        <f t="shared" ca="1" si="49"/>
        <v>99999</v>
      </c>
      <c r="E131" s="387">
        <f t="shared" ca="1" si="50"/>
        <v>9999</v>
      </c>
      <c r="F131" s="417" t="str">
        <f t="shared" ca="1" si="51"/>
        <v>00000000000000000000580584</v>
      </c>
      <c r="G131" s="453" t="b">
        <f t="shared" ca="1" si="52"/>
        <v>1</v>
      </c>
      <c r="H131" s="454">
        <f t="shared" si="53"/>
        <v>121</v>
      </c>
      <c r="I131" s="455" t="str">
        <f t="shared" ca="1" si="54"/>
        <v/>
      </c>
      <c r="J131" s="456" t="str">
        <f ca="1">IF(N(I131)&gt;0,VLOOKUP(I131,Hraci!$A$1:$I$1500,2,0),IF(TYPE(INDIRECT(ADDRESS(ROW() + $A$9-9 + (ROW()-11)*4,2,1,1,"Internet")))&gt;1,INDIRECT(ADDRESS(ROW() + $A$9-9 + (ROW()-11)*4,2,1,1,"Internet"))," "))</f>
        <v xml:space="preserve"> </v>
      </c>
      <c r="K131" s="457" t="str">
        <f ca="1">IF(N(I131)&gt;0,VLOOKUP(I131,Hraci!$A$1:$I$1500,3,0)," ")</f>
        <v xml:space="preserve"> </v>
      </c>
      <c r="L131" s="457" t="str">
        <f ca="1">IF(N(I131)&gt;0,VLOOKUP(I131,Hraci!$A$1:$I$1500,5,0),IF(TYPE(INDIRECT(ADDRESS(ROW() + $A$9-9 + (ROW()-11)*4,3,1,1,"Internet")))&gt;1,INDIRECT(ADDRESS(ROW() + $A$9-9 + (ROW()-11)*4,3,1,1,"Internet"))," "))</f>
        <v xml:space="preserve"> </v>
      </c>
      <c r="M131" s="395">
        <f ca="1">IF(N(I131)=0,9999,VLOOKUP(I131,Hraci!$A$1:$I$1500,8,0))</f>
        <v>9999</v>
      </c>
      <c r="N131" s="458">
        <f ca="1">IF(N(I131)=0,0,VLOOKUP(I131,Hraci!$A$1:$I$1500,9,0))</f>
        <v>0</v>
      </c>
      <c r="O131" s="455" t="str">
        <f t="shared" ca="1" si="55"/>
        <v/>
      </c>
      <c r="P131" s="456" t="str">
        <f ca="1">IF(N(O131)&gt;0,VLOOKUP(O131,Hraci!$A$1:$I$1500,2,0),IF(TYPE(INDIRECT(ADDRESS(ROW() + $A$9-8 + (ROW()-11)*4,2,1,1,"Internet")))&gt;1,INDIRECT(ADDRESS(ROW() + $A$9-8 + (ROW()-11)*4,2,1,1,"Internet"))," "))</f>
        <v xml:space="preserve"> </v>
      </c>
      <c r="Q131" s="457" t="str">
        <f ca="1">IF(N(O131)&gt;0,VLOOKUP(O131,Hraci!$A$1:$I$1500,3,0)," ")</f>
        <v xml:space="preserve"> </v>
      </c>
      <c r="R131" s="457" t="str">
        <f ca="1">IF(N(O131)&gt;0,VLOOKUP(O131,Hraci!$A$1:$I$1500,5,0),IF(TYPE(INDIRECT(ADDRESS(ROW() + $A$9-8 + (ROW()-11)*4,3,1,1,"Internet")))&gt;1,INDIRECT(ADDRESS(ROW() + $A$9-8 + (ROW()-11)*4,3,1,1,"Internet"))," "))</f>
        <v xml:space="preserve"> </v>
      </c>
      <c r="S131" s="395">
        <f ca="1">IF(N(O131)=0,9999,VLOOKUP(O131,Hraci!$A$1:$I$1500,8,0))</f>
        <v>9999</v>
      </c>
      <c r="T131" s="458">
        <f ca="1">IF(N(O131)=0,0,VLOOKUP(O131,Hraci!$A$1:$I$1500,9,0))</f>
        <v>0</v>
      </c>
      <c r="U131" s="455" t="str">
        <f t="shared" ca="1" si="56"/>
        <v/>
      </c>
      <c r="V131" s="456" t="str">
        <f ca="1">IF(N(U131)&gt;0,VLOOKUP(U131,Hraci!$A$1:$I$1500,2,0),IF(TYPE(INDIRECT(ADDRESS(ROW() + $A$9-7 + (ROW()-11)*4,2,1,1,"Internet")))&gt;1,INDIRECT(ADDRESS(ROW() + $A$9-7 + (ROW()-11)*4,2,1,1,"Internet"))," "))</f>
        <v xml:space="preserve"> </v>
      </c>
      <c r="W131" s="457" t="str">
        <f ca="1">IF(N(U131)&gt;0,VLOOKUP(U131,Hraci!$A$1:$I$1500,3,0)," ")</f>
        <v xml:space="preserve"> </v>
      </c>
      <c r="X131" s="457" t="str">
        <f ca="1">IF(N(U131)&gt;0,VLOOKUP(U131,Hraci!$A$1:$I$1500,5,0),IF(TYPE(INDIRECT(ADDRESS(ROW() + $A$9-7 + (ROW()-11)*4,3,1,1,"Internet")))&gt;1,INDIRECT(ADDRESS(ROW() + $A$9-7 + (ROW()-11)*4,3,1,1,"Internet"))," "))</f>
        <v xml:space="preserve"> </v>
      </c>
      <c r="Y131" s="395">
        <f ca="1">IF(N(U131)=0,9999,VLOOKUP(U131,Hraci!$A$1:$I$1500,8,0))</f>
        <v>9999</v>
      </c>
      <c r="Z131" s="458">
        <f ca="1">IF(N(U131)=0,0,VLOOKUP(U131,Hraci!$A$1:$I$1500,9,0))</f>
        <v>0</v>
      </c>
      <c r="AA131" s="455" t="str">
        <f t="shared" ca="1" si="57"/>
        <v/>
      </c>
      <c r="AB131" s="456" t="str">
        <f ca="1">IF(N(AA131)&gt;0,VLOOKUP(AA131,Hraci!$A$1:$I$1500,2,0)," ")</f>
        <v xml:space="preserve"> </v>
      </c>
      <c r="AC131" s="457" t="str">
        <f ca="1">IF(N(AA131)&gt;0,VLOOKUP(AA131,Hraci!$A$1:$I$1500,3,0)," ")</f>
        <v xml:space="preserve"> </v>
      </c>
      <c r="AD131" s="457" t="str">
        <f ca="1">IF(N(AA131)&gt;0,VLOOKUP(AA131,Hraci!$A$1:$I$1500,5,0)," ")</f>
        <v xml:space="preserve"> </v>
      </c>
      <c r="AE131" s="395">
        <f ca="1">IF(N(AA131)=0,9999,VLOOKUP(AA131,Hraci!$A$1:$I$1500,8,0))</f>
        <v>9999</v>
      </c>
      <c r="AF131" s="458">
        <f ca="1">IF(N(AA131)=0,0,VLOOKUP(AA131,Hraci!$A$1:$I$1500,9,0))</f>
        <v>0</v>
      </c>
      <c r="AG131" s="459"/>
      <c r="AH131" s="465">
        <f ca="1">IF(TYPE(VLOOKUP(H131,Nasazení!$A$3:$E$130,5,0))&lt;4,VLOOKUP(H131,Nasazení!$A$3:$E$130,5,0),0)</f>
        <v>0</v>
      </c>
      <c r="AI131" s="460" t="str">
        <f ca="1">IF(N($AH131)&gt;0,VLOOKUP($AH131,Body!$A$4:$F$259,5,0),"")</f>
        <v/>
      </c>
      <c r="AJ131" s="461" t="str">
        <f ca="1">IF(N($AH131)&gt;0,VLOOKUP($AH131,Body!$A$4:$F$259,6,0),"")</f>
        <v/>
      </c>
      <c r="AK131" s="460" t="str">
        <f ca="1">IF(N($AH131)&gt;0,VLOOKUP($AH131,Body!$A$4:$F$259,2,0),"")</f>
        <v/>
      </c>
      <c r="AL131" s="462" t="str">
        <f t="shared" ca="1" si="58"/>
        <v/>
      </c>
      <c r="AM131" s="463">
        <f t="shared" ca="1" si="59"/>
        <v>0</v>
      </c>
      <c r="AN131" s="395">
        <f ca="1">IF(OR(TYPE(I131)&gt;1,TYPE(MATCH(I131,I132:I$139,0))&gt;1),0,MATCH(I131,I132:I$139,0))+IF(OR(TYPE(I131)&gt;1,TYPE(MATCH(I131,O$11:O$139,0))&gt;1),0,MATCH(I131,O$11:O$139,0))+IF(OR(TYPE(I131)&gt;1,TYPE(MATCH(I131,U$11:U$139,0))&gt;1),0,MATCH(I131,U$11:U$139,0))+IF(OR(TYPE(I131)&gt;1,TYPE(MATCH(I131,AA$11:AA$139,0))&gt;1),0,MATCH(I131,AA$11:AA$139,0))</f>
        <v>0</v>
      </c>
      <c r="AO131" s="395">
        <f ca="1">IF(OR(TYPE(O131)&gt;1,TYPE(MATCH(O131,I$11:I$139,0))&gt;1),0,MATCH(O131,I$11:I$139,0))+IF(OR(TYPE(O131)&gt;1,TYPE(MATCH(O131,O132:O$139,0))&gt;1),0,MATCH(O131,O132:O$139,0))+IF(OR(TYPE(O131)&gt;1,TYPE(MATCH(O131,U$11:U$139,0))&gt;1),0,MATCH(O131,U$11:U$139,0))+IF(OR(TYPE(O131)&gt;1,TYPE(MATCH(O131,AA$11:AA$139,0))&gt;1),0,MATCH(O131,AA$11:AA$139,0))</f>
        <v>0</v>
      </c>
      <c r="AP131" s="395">
        <f ca="1">IF(OR(TYPE(U131)&gt;1,TYPE(MATCH(U131,I$11:I$139,0))&gt;1),0,MATCH(U131,I$11:I$139,0))+IF(OR(TYPE(U131)&gt;1,TYPE(MATCH(U131,O$11:O$139,0))&gt;1),0,MATCH(U131,O$11:O$139,0))+IF(OR(TYPE(U131)&gt;1,TYPE(MATCH(U131,U132:U$139,0))&gt;1),0,MATCH(U131,U132:U$139,0))+IF(OR(TYPE(U131)&gt;1,TYPE(MATCH(U131,AA$11:AA$139,0))&gt;1),0,MATCH(U131,AA$11:AA$139,0))</f>
        <v>0</v>
      </c>
      <c r="AQ131" s="395">
        <f ca="1">IF(OR(TYPE(AA131)&gt;1,TYPE(MATCH(AA131,I$11:I$139,0))&gt;1),0,MATCH(AA131,I$11:I$139,0))+IF(OR(TYPE(AA131)&gt;1,TYPE(MATCH(AA131,O$11:O$139,0))&gt;1),0,MATCH(AA131,O$11:O$139,0))+IF(OR(TYPE(AA131)&gt;1,TYPE(MATCH(AA131,U$11:U$139,0))&gt;1),0,MATCH(U131,U$11:U$139,0))+IF(OR(TYPE(AA131)&gt;1,TYPE(MATCH(AA131,AA132:AA$139,0))&gt;1),0,MATCH(AA131,AA132:AA$139,0))</f>
        <v>0</v>
      </c>
      <c r="AR131" s="395">
        <f t="shared" ca="1" si="44"/>
        <v>0</v>
      </c>
      <c r="BF131" s="395">
        <f t="shared" si="45"/>
        <v>121</v>
      </c>
    </row>
    <row r="132" spans="1:58" ht="12.9">
      <c r="A132" s="387">
        <f t="shared" ca="1" si="46"/>
        <v>0</v>
      </c>
      <c r="B132" s="387">
        <f t="shared" ca="1" si="47"/>
        <v>0</v>
      </c>
      <c r="C132" s="387">
        <f t="shared" ca="1" si="48"/>
        <v>0</v>
      </c>
      <c r="D132" s="387">
        <f t="shared" ca="1" si="49"/>
        <v>99999</v>
      </c>
      <c r="E132" s="387">
        <f t="shared" ca="1" si="50"/>
        <v>9999</v>
      </c>
      <c r="F132" s="417" t="str">
        <f t="shared" ca="1" si="51"/>
        <v>00000000000000000000037204</v>
      </c>
      <c r="G132" s="453" t="b">
        <f t="shared" ca="1" si="52"/>
        <v>1</v>
      </c>
      <c r="H132" s="454">
        <f t="shared" si="53"/>
        <v>122</v>
      </c>
      <c r="I132" s="455" t="str">
        <f t="shared" ca="1" si="54"/>
        <v/>
      </c>
      <c r="J132" s="456" t="str">
        <f ca="1">IF(N(I132)&gt;0,VLOOKUP(I132,Hraci!$A$1:$I$1500,2,0),IF(TYPE(INDIRECT(ADDRESS(ROW() + $A$9-9 + (ROW()-11)*4,2,1,1,"Internet")))&gt;1,INDIRECT(ADDRESS(ROW() + $A$9-9 + (ROW()-11)*4,2,1,1,"Internet"))," "))</f>
        <v xml:space="preserve"> </v>
      </c>
      <c r="K132" s="457" t="str">
        <f ca="1">IF(N(I132)&gt;0,VLOOKUP(I132,Hraci!$A$1:$I$1500,3,0)," ")</f>
        <v xml:space="preserve"> </v>
      </c>
      <c r="L132" s="457" t="str">
        <f ca="1">IF(N(I132)&gt;0,VLOOKUP(I132,Hraci!$A$1:$I$1500,5,0),IF(TYPE(INDIRECT(ADDRESS(ROW() + $A$9-9 + (ROW()-11)*4,3,1,1,"Internet")))&gt;1,INDIRECT(ADDRESS(ROW() + $A$9-9 + (ROW()-11)*4,3,1,1,"Internet"))," "))</f>
        <v xml:space="preserve"> </v>
      </c>
      <c r="M132" s="395">
        <f ca="1">IF(N(I132)=0,9999,VLOOKUP(I132,Hraci!$A$1:$I$1500,8,0))</f>
        <v>9999</v>
      </c>
      <c r="N132" s="458">
        <f ca="1">IF(N(I132)=0,0,VLOOKUP(I132,Hraci!$A$1:$I$1500,9,0))</f>
        <v>0</v>
      </c>
      <c r="O132" s="455" t="str">
        <f t="shared" ca="1" si="55"/>
        <v/>
      </c>
      <c r="P132" s="456" t="str">
        <f ca="1">IF(N(O132)&gt;0,VLOOKUP(O132,Hraci!$A$1:$I$1500,2,0),IF(TYPE(INDIRECT(ADDRESS(ROW() + $A$9-8 + (ROW()-11)*4,2,1,1,"Internet")))&gt;1,INDIRECT(ADDRESS(ROW() + $A$9-8 + (ROW()-11)*4,2,1,1,"Internet"))," "))</f>
        <v xml:space="preserve"> </v>
      </c>
      <c r="Q132" s="457" t="str">
        <f ca="1">IF(N(O132)&gt;0,VLOOKUP(O132,Hraci!$A$1:$I$1500,3,0)," ")</f>
        <v xml:space="preserve"> </v>
      </c>
      <c r="R132" s="457" t="str">
        <f ca="1">IF(N(O132)&gt;0,VLOOKUP(O132,Hraci!$A$1:$I$1500,5,0),IF(TYPE(INDIRECT(ADDRESS(ROW() + $A$9-8 + (ROW()-11)*4,3,1,1,"Internet")))&gt;1,INDIRECT(ADDRESS(ROW() + $A$9-8 + (ROW()-11)*4,3,1,1,"Internet"))," "))</f>
        <v xml:space="preserve"> </v>
      </c>
      <c r="S132" s="395">
        <f ca="1">IF(N(O132)=0,9999,VLOOKUP(O132,Hraci!$A$1:$I$1500,8,0))</f>
        <v>9999</v>
      </c>
      <c r="T132" s="458">
        <f ca="1">IF(N(O132)=0,0,VLOOKUP(O132,Hraci!$A$1:$I$1500,9,0))</f>
        <v>0</v>
      </c>
      <c r="U132" s="455" t="str">
        <f t="shared" ca="1" si="56"/>
        <v/>
      </c>
      <c r="V132" s="456" t="str">
        <f ca="1">IF(N(U132)&gt;0,VLOOKUP(U132,Hraci!$A$1:$I$1500,2,0),IF(TYPE(INDIRECT(ADDRESS(ROW() + $A$9-7 + (ROW()-11)*4,2,1,1,"Internet")))&gt;1,INDIRECT(ADDRESS(ROW() + $A$9-7 + (ROW()-11)*4,2,1,1,"Internet"))," "))</f>
        <v xml:space="preserve"> </v>
      </c>
      <c r="W132" s="457" t="str">
        <f ca="1">IF(N(U132)&gt;0,VLOOKUP(U132,Hraci!$A$1:$I$1500,3,0)," ")</f>
        <v xml:space="preserve"> </v>
      </c>
      <c r="X132" s="457" t="str">
        <f ca="1">IF(N(U132)&gt;0,VLOOKUP(U132,Hraci!$A$1:$I$1500,5,0),IF(TYPE(INDIRECT(ADDRESS(ROW() + $A$9-7 + (ROW()-11)*4,3,1,1,"Internet")))&gt;1,INDIRECT(ADDRESS(ROW() + $A$9-7 + (ROW()-11)*4,3,1,1,"Internet"))," "))</f>
        <v xml:space="preserve"> </v>
      </c>
      <c r="Y132" s="395">
        <f ca="1">IF(N(U132)=0,9999,VLOOKUP(U132,Hraci!$A$1:$I$1500,8,0))</f>
        <v>9999</v>
      </c>
      <c r="Z132" s="458">
        <f ca="1">IF(N(U132)=0,0,VLOOKUP(U132,Hraci!$A$1:$I$1500,9,0))</f>
        <v>0</v>
      </c>
      <c r="AA132" s="455" t="str">
        <f t="shared" ca="1" si="57"/>
        <v/>
      </c>
      <c r="AB132" s="456" t="str">
        <f ca="1">IF(N(AA132)&gt;0,VLOOKUP(AA132,Hraci!$A$1:$I$1500,2,0)," ")</f>
        <v xml:space="preserve"> </v>
      </c>
      <c r="AC132" s="457" t="str">
        <f ca="1">IF(N(AA132)&gt;0,VLOOKUP(AA132,Hraci!$A$1:$I$1500,3,0)," ")</f>
        <v xml:space="preserve"> </v>
      </c>
      <c r="AD132" s="457" t="str">
        <f ca="1">IF(N(AA132)&gt;0,VLOOKUP(AA132,Hraci!$A$1:$I$1500,5,0)," ")</f>
        <v xml:space="preserve"> </v>
      </c>
      <c r="AE132" s="395">
        <f ca="1">IF(N(AA132)=0,9999,VLOOKUP(AA132,Hraci!$A$1:$I$1500,8,0))</f>
        <v>9999</v>
      </c>
      <c r="AF132" s="458">
        <f ca="1">IF(N(AA132)=0,0,VLOOKUP(AA132,Hraci!$A$1:$I$1500,9,0))</f>
        <v>0</v>
      </c>
      <c r="AG132" s="459"/>
      <c r="AH132" s="465">
        <f ca="1">IF(TYPE(VLOOKUP(H132,Nasazení!$A$3:$E$130,5,0))&lt;4,VLOOKUP(H132,Nasazení!$A$3:$E$130,5,0),0)</f>
        <v>0</v>
      </c>
      <c r="AI132" s="460" t="str">
        <f ca="1">IF(N($AH132)&gt;0,VLOOKUP($AH132,Body!$A$4:$F$259,5,0),"")</f>
        <v/>
      </c>
      <c r="AJ132" s="461" t="str">
        <f ca="1">IF(N($AH132)&gt;0,VLOOKUP($AH132,Body!$A$4:$F$259,6,0),"")</f>
        <v/>
      </c>
      <c r="AK132" s="460" t="str">
        <f ca="1">IF(N($AH132)&gt;0,VLOOKUP($AH132,Body!$A$4:$F$259,2,0),"")</f>
        <v/>
      </c>
      <c r="AL132" s="462" t="str">
        <f t="shared" ca="1" si="58"/>
        <v/>
      </c>
      <c r="AM132" s="463">
        <f t="shared" ca="1" si="59"/>
        <v>0</v>
      </c>
      <c r="AN132" s="395">
        <f ca="1">IF(OR(TYPE(I132)&gt;1,TYPE(MATCH(I132,I133:I$139,0))&gt;1),0,MATCH(I132,I133:I$139,0))+IF(OR(TYPE(I132)&gt;1,TYPE(MATCH(I132,O$11:O$139,0))&gt;1),0,MATCH(I132,O$11:O$139,0))+IF(OR(TYPE(I132)&gt;1,TYPE(MATCH(I132,U$11:U$139,0))&gt;1),0,MATCH(I132,U$11:U$139,0))+IF(OR(TYPE(I132)&gt;1,TYPE(MATCH(I132,AA$11:AA$139,0))&gt;1),0,MATCH(I132,AA$11:AA$139,0))</f>
        <v>0</v>
      </c>
      <c r="AO132" s="395">
        <f ca="1">IF(OR(TYPE(O132)&gt;1,TYPE(MATCH(O132,I$11:I$139,0))&gt;1),0,MATCH(O132,I$11:I$139,0))+IF(OR(TYPE(O132)&gt;1,TYPE(MATCH(O132,O133:O$139,0))&gt;1),0,MATCH(O132,O133:O$139,0))+IF(OR(TYPE(O132)&gt;1,TYPE(MATCH(O132,U$11:U$139,0))&gt;1),0,MATCH(O132,U$11:U$139,0))+IF(OR(TYPE(O132)&gt;1,TYPE(MATCH(O132,AA$11:AA$139,0))&gt;1),0,MATCH(O132,AA$11:AA$139,0))</f>
        <v>0</v>
      </c>
      <c r="AP132" s="395">
        <f ca="1">IF(OR(TYPE(U132)&gt;1,TYPE(MATCH(U132,I$11:I$139,0))&gt;1),0,MATCH(U132,I$11:I$139,0))+IF(OR(TYPE(U132)&gt;1,TYPE(MATCH(U132,O$11:O$139,0))&gt;1),0,MATCH(U132,O$11:O$139,0))+IF(OR(TYPE(U132)&gt;1,TYPE(MATCH(U132,U133:U$139,0))&gt;1),0,MATCH(U132,U133:U$139,0))+IF(OR(TYPE(U132)&gt;1,TYPE(MATCH(U132,AA$11:AA$139,0))&gt;1),0,MATCH(U132,AA$11:AA$139,0))</f>
        <v>0</v>
      </c>
      <c r="AQ132" s="395">
        <f ca="1">IF(OR(TYPE(AA132)&gt;1,TYPE(MATCH(AA132,I$11:I$139,0))&gt;1),0,MATCH(AA132,I$11:I$139,0))+IF(OR(TYPE(AA132)&gt;1,TYPE(MATCH(AA132,O$11:O$139,0))&gt;1),0,MATCH(AA132,O$11:O$139,0))+IF(OR(TYPE(AA132)&gt;1,TYPE(MATCH(AA132,U$11:U$139,0))&gt;1),0,MATCH(U132,U$11:U$139,0))+IF(OR(TYPE(AA132)&gt;1,TYPE(MATCH(AA132,AA133:AA$139,0))&gt;1),0,MATCH(AA132,AA133:AA$139,0))</f>
        <v>0</v>
      </c>
      <c r="AR132" s="395">
        <f t="shared" ca="1" si="44"/>
        <v>0</v>
      </c>
      <c r="BF132" s="395">
        <f t="shared" si="45"/>
        <v>122</v>
      </c>
    </row>
    <row r="133" spans="1:58" ht="12.9">
      <c r="A133" s="387">
        <f t="shared" ca="1" si="46"/>
        <v>0</v>
      </c>
      <c r="B133" s="387">
        <f t="shared" ca="1" si="47"/>
        <v>0</v>
      </c>
      <c r="C133" s="387">
        <f t="shared" ca="1" si="48"/>
        <v>0</v>
      </c>
      <c r="D133" s="387">
        <f t="shared" ca="1" si="49"/>
        <v>99999</v>
      </c>
      <c r="E133" s="387">
        <f t="shared" ca="1" si="50"/>
        <v>9999</v>
      </c>
      <c r="F133" s="417" t="str">
        <f t="shared" ca="1" si="51"/>
        <v>00000000000000000000598126</v>
      </c>
      <c r="G133" s="453" t="b">
        <f t="shared" ca="1" si="52"/>
        <v>1</v>
      </c>
      <c r="H133" s="454">
        <f t="shared" si="53"/>
        <v>123</v>
      </c>
      <c r="I133" s="455" t="str">
        <f t="shared" ca="1" si="54"/>
        <v/>
      </c>
      <c r="J133" s="456" t="str">
        <f ca="1">IF(N(I133)&gt;0,VLOOKUP(I133,Hraci!$A$1:$I$1500,2,0),IF(TYPE(INDIRECT(ADDRESS(ROW() + $A$9-9 + (ROW()-11)*4,2,1,1,"Internet")))&gt;1,INDIRECT(ADDRESS(ROW() + $A$9-9 + (ROW()-11)*4,2,1,1,"Internet"))," "))</f>
        <v xml:space="preserve"> </v>
      </c>
      <c r="K133" s="457" t="str">
        <f ca="1">IF(N(I133)&gt;0,VLOOKUP(I133,Hraci!$A$1:$I$1500,3,0)," ")</f>
        <v xml:space="preserve"> </v>
      </c>
      <c r="L133" s="457" t="str">
        <f ca="1">IF(N(I133)&gt;0,VLOOKUP(I133,Hraci!$A$1:$I$1500,5,0),IF(TYPE(INDIRECT(ADDRESS(ROW() + $A$9-9 + (ROW()-11)*4,3,1,1,"Internet")))&gt;1,INDIRECT(ADDRESS(ROW() + $A$9-9 + (ROW()-11)*4,3,1,1,"Internet"))," "))</f>
        <v xml:space="preserve"> </v>
      </c>
      <c r="M133" s="395">
        <f ca="1">IF(N(I133)=0,9999,VLOOKUP(I133,Hraci!$A$1:$I$1500,8,0))</f>
        <v>9999</v>
      </c>
      <c r="N133" s="458">
        <f ca="1">IF(N(I133)=0,0,VLOOKUP(I133,Hraci!$A$1:$I$1500,9,0))</f>
        <v>0</v>
      </c>
      <c r="O133" s="455" t="str">
        <f t="shared" ca="1" si="55"/>
        <v/>
      </c>
      <c r="P133" s="456" t="str">
        <f ca="1">IF(N(O133)&gt;0,VLOOKUP(O133,Hraci!$A$1:$I$1500,2,0),IF(TYPE(INDIRECT(ADDRESS(ROW() + $A$9-8 + (ROW()-11)*4,2,1,1,"Internet")))&gt;1,INDIRECT(ADDRESS(ROW() + $A$9-8 + (ROW()-11)*4,2,1,1,"Internet"))," "))</f>
        <v xml:space="preserve"> </v>
      </c>
      <c r="Q133" s="457" t="str">
        <f ca="1">IF(N(O133)&gt;0,VLOOKUP(O133,Hraci!$A$1:$I$1500,3,0)," ")</f>
        <v xml:space="preserve"> </v>
      </c>
      <c r="R133" s="457" t="str">
        <f ca="1">IF(N(O133)&gt;0,VLOOKUP(O133,Hraci!$A$1:$I$1500,5,0),IF(TYPE(INDIRECT(ADDRESS(ROW() + $A$9-8 + (ROW()-11)*4,3,1,1,"Internet")))&gt;1,INDIRECT(ADDRESS(ROW() + $A$9-8 + (ROW()-11)*4,3,1,1,"Internet"))," "))</f>
        <v xml:space="preserve"> </v>
      </c>
      <c r="S133" s="395">
        <f ca="1">IF(N(O133)=0,9999,VLOOKUP(O133,Hraci!$A$1:$I$1500,8,0))</f>
        <v>9999</v>
      </c>
      <c r="T133" s="458">
        <f ca="1">IF(N(O133)=0,0,VLOOKUP(O133,Hraci!$A$1:$I$1500,9,0))</f>
        <v>0</v>
      </c>
      <c r="U133" s="455" t="str">
        <f t="shared" ca="1" si="56"/>
        <v/>
      </c>
      <c r="V133" s="456" t="str">
        <f ca="1">IF(N(U133)&gt;0,VLOOKUP(U133,Hraci!$A$1:$I$1500,2,0),IF(TYPE(INDIRECT(ADDRESS(ROW() + $A$9-7 + (ROW()-11)*4,2,1,1,"Internet")))&gt;1,INDIRECT(ADDRESS(ROW() + $A$9-7 + (ROW()-11)*4,2,1,1,"Internet"))," "))</f>
        <v xml:space="preserve"> </v>
      </c>
      <c r="W133" s="457" t="str">
        <f ca="1">IF(N(U133)&gt;0,VLOOKUP(U133,Hraci!$A$1:$I$1500,3,0)," ")</f>
        <v xml:space="preserve"> </v>
      </c>
      <c r="X133" s="457" t="str">
        <f ca="1">IF(N(U133)&gt;0,VLOOKUP(U133,Hraci!$A$1:$I$1500,5,0),IF(TYPE(INDIRECT(ADDRESS(ROW() + $A$9-7 + (ROW()-11)*4,3,1,1,"Internet")))&gt;1,INDIRECT(ADDRESS(ROW() + $A$9-7 + (ROW()-11)*4,3,1,1,"Internet"))," "))</f>
        <v xml:space="preserve"> </v>
      </c>
      <c r="Y133" s="395">
        <f ca="1">IF(N(U133)=0,9999,VLOOKUP(U133,Hraci!$A$1:$I$1500,8,0))</f>
        <v>9999</v>
      </c>
      <c r="Z133" s="458">
        <f ca="1">IF(N(U133)=0,0,VLOOKUP(U133,Hraci!$A$1:$I$1500,9,0))</f>
        <v>0</v>
      </c>
      <c r="AA133" s="455" t="str">
        <f t="shared" ca="1" si="57"/>
        <v/>
      </c>
      <c r="AB133" s="456" t="str">
        <f ca="1">IF(N(AA133)&gt;0,VLOOKUP(AA133,Hraci!$A$1:$I$1500,2,0)," ")</f>
        <v xml:space="preserve"> </v>
      </c>
      <c r="AC133" s="457" t="str">
        <f ca="1">IF(N(AA133)&gt;0,VLOOKUP(AA133,Hraci!$A$1:$I$1500,3,0)," ")</f>
        <v xml:space="preserve"> </v>
      </c>
      <c r="AD133" s="457" t="str">
        <f ca="1">IF(N(AA133)&gt;0,VLOOKUP(AA133,Hraci!$A$1:$I$1500,5,0)," ")</f>
        <v xml:space="preserve"> </v>
      </c>
      <c r="AE133" s="395">
        <f ca="1">IF(N(AA133)=0,9999,VLOOKUP(AA133,Hraci!$A$1:$I$1500,8,0))</f>
        <v>9999</v>
      </c>
      <c r="AF133" s="458">
        <f ca="1">IF(N(AA133)=0,0,VLOOKUP(AA133,Hraci!$A$1:$I$1500,9,0))</f>
        <v>0</v>
      </c>
      <c r="AG133" s="459"/>
      <c r="AH133" s="465">
        <f ca="1">IF(TYPE(VLOOKUP(H133,Nasazení!$A$3:$E$130,5,0))&lt;4,VLOOKUP(H133,Nasazení!$A$3:$E$130,5,0),0)</f>
        <v>0</v>
      </c>
      <c r="AI133" s="460" t="str">
        <f ca="1">IF(N($AH133)&gt;0,VLOOKUP($AH133,Body!$A$4:$F$259,5,0),"")</f>
        <v/>
      </c>
      <c r="AJ133" s="461" t="str">
        <f ca="1">IF(N($AH133)&gt;0,VLOOKUP($AH133,Body!$A$4:$F$259,6,0),"")</f>
        <v/>
      </c>
      <c r="AK133" s="460" t="str">
        <f ca="1">IF(N($AH133)&gt;0,VLOOKUP($AH133,Body!$A$4:$F$259,2,0),"")</f>
        <v/>
      </c>
      <c r="AL133" s="462" t="str">
        <f t="shared" ca="1" si="58"/>
        <v/>
      </c>
      <c r="AM133" s="463">
        <f t="shared" ca="1" si="59"/>
        <v>0</v>
      </c>
      <c r="AN133" s="395">
        <f ca="1">IF(OR(TYPE(I133)&gt;1,TYPE(MATCH(I133,I134:I$139,0))&gt;1),0,MATCH(I133,I134:I$139,0))+IF(OR(TYPE(I133)&gt;1,TYPE(MATCH(I133,O$11:O$139,0))&gt;1),0,MATCH(I133,O$11:O$139,0))+IF(OR(TYPE(I133)&gt;1,TYPE(MATCH(I133,U$11:U$139,0))&gt;1),0,MATCH(I133,U$11:U$139,0))+IF(OR(TYPE(I133)&gt;1,TYPE(MATCH(I133,AA$11:AA$139,0))&gt;1),0,MATCH(I133,AA$11:AA$139,0))</f>
        <v>0</v>
      </c>
      <c r="AO133" s="395">
        <f ca="1">IF(OR(TYPE(O133)&gt;1,TYPE(MATCH(O133,I$11:I$139,0))&gt;1),0,MATCH(O133,I$11:I$139,0))+IF(OR(TYPE(O133)&gt;1,TYPE(MATCH(O133,O134:O$139,0))&gt;1),0,MATCH(O133,O134:O$139,0))+IF(OR(TYPE(O133)&gt;1,TYPE(MATCH(O133,U$11:U$139,0))&gt;1),0,MATCH(O133,U$11:U$139,0))+IF(OR(TYPE(O133)&gt;1,TYPE(MATCH(O133,AA$11:AA$139,0))&gt;1),0,MATCH(O133,AA$11:AA$139,0))</f>
        <v>0</v>
      </c>
      <c r="AP133" s="395">
        <f ca="1">IF(OR(TYPE(U133)&gt;1,TYPE(MATCH(U133,I$11:I$139,0))&gt;1),0,MATCH(U133,I$11:I$139,0))+IF(OR(TYPE(U133)&gt;1,TYPE(MATCH(U133,O$11:O$139,0))&gt;1),0,MATCH(U133,O$11:O$139,0))+IF(OR(TYPE(U133)&gt;1,TYPE(MATCH(U133,U134:U$139,0))&gt;1),0,MATCH(U133,U134:U$139,0))+IF(OR(TYPE(U133)&gt;1,TYPE(MATCH(U133,AA$11:AA$139,0))&gt;1),0,MATCH(U133,AA$11:AA$139,0))</f>
        <v>0</v>
      </c>
      <c r="AQ133" s="395">
        <f ca="1">IF(OR(TYPE(AA133)&gt;1,TYPE(MATCH(AA133,I$11:I$139,0))&gt;1),0,MATCH(AA133,I$11:I$139,0))+IF(OR(TYPE(AA133)&gt;1,TYPE(MATCH(AA133,O$11:O$139,0))&gt;1),0,MATCH(AA133,O$11:O$139,0))+IF(OR(TYPE(AA133)&gt;1,TYPE(MATCH(AA133,U$11:U$139,0))&gt;1),0,MATCH(U133,U$11:U$139,0))+IF(OR(TYPE(AA133)&gt;1,TYPE(MATCH(AA133,AA134:AA$139,0))&gt;1),0,MATCH(AA133,AA134:AA$139,0))</f>
        <v>0</v>
      </c>
      <c r="AR133" s="395">
        <f t="shared" ca="1" si="44"/>
        <v>0</v>
      </c>
      <c r="BF133" s="395">
        <f t="shared" si="45"/>
        <v>123</v>
      </c>
    </row>
    <row r="134" spans="1:58" ht="12.9">
      <c r="A134" s="387">
        <f t="shared" ca="1" si="46"/>
        <v>0</v>
      </c>
      <c r="B134" s="387">
        <f t="shared" ca="1" si="47"/>
        <v>0</v>
      </c>
      <c r="C134" s="387">
        <f t="shared" ca="1" si="48"/>
        <v>0</v>
      </c>
      <c r="D134" s="387">
        <f t="shared" ca="1" si="49"/>
        <v>99999</v>
      </c>
      <c r="E134" s="387">
        <f t="shared" ca="1" si="50"/>
        <v>9999</v>
      </c>
      <c r="F134" s="417" t="str">
        <f t="shared" ca="1" si="51"/>
        <v>00000000000000000000388655</v>
      </c>
      <c r="G134" s="453" t="b">
        <f t="shared" ca="1" si="52"/>
        <v>1</v>
      </c>
      <c r="H134" s="454">
        <f t="shared" si="53"/>
        <v>124</v>
      </c>
      <c r="I134" s="455" t="str">
        <f t="shared" ca="1" si="54"/>
        <v/>
      </c>
      <c r="J134" s="456" t="str">
        <f ca="1">IF(N(I134)&gt;0,VLOOKUP(I134,Hraci!$A$1:$I$1500,2,0),IF(TYPE(INDIRECT(ADDRESS(ROW() + $A$9-9 + (ROW()-11)*4,2,1,1,"Internet")))&gt;1,INDIRECT(ADDRESS(ROW() + $A$9-9 + (ROW()-11)*4,2,1,1,"Internet"))," "))</f>
        <v xml:space="preserve"> </v>
      </c>
      <c r="K134" s="457" t="str">
        <f ca="1">IF(N(I134)&gt;0,VLOOKUP(I134,Hraci!$A$1:$I$1500,3,0)," ")</f>
        <v xml:space="preserve"> </v>
      </c>
      <c r="L134" s="457" t="str">
        <f ca="1">IF(N(I134)&gt;0,VLOOKUP(I134,Hraci!$A$1:$I$1500,5,0),IF(TYPE(INDIRECT(ADDRESS(ROW() + $A$9-9 + (ROW()-11)*4,3,1,1,"Internet")))&gt;1,INDIRECT(ADDRESS(ROW() + $A$9-9 + (ROW()-11)*4,3,1,1,"Internet"))," "))</f>
        <v xml:space="preserve"> </v>
      </c>
      <c r="M134" s="395">
        <f ca="1">IF(N(I134)=0,9999,VLOOKUP(I134,Hraci!$A$1:$I$1500,8,0))</f>
        <v>9999</v>
      </c>
      <c r="N134" s="458">
        <f ca="1">IF(N(I134)=0,0,VLOOKUP(I134,Hraci!$A$1:$I$1500,9,0))</f>
        <v>0</v>
      </c>
      <c r="O134" s="455" t="str">
        <f t="shared" ca="1" si="55"/>
        <v/>
      </c>
      <c r="P134" s="456" t="str">
        <f ca="1">IF(N(O134)&gt;0,VLOOKUP(O134,Hraci!$A$1:$I$1500,2,0),IF(TYPE(INDIRECT(ADDRESS(ROW() + $A$9-8 + (ROW()-11)*4,2,1,1,"Internet")))&gt;1,INDIRECT(ADDRESS(ROW() + $A$9-8 + (ROW()-11)*4,2,1,1,"Internet"))," "))</f>
        <v xml:space="preserve"> </v>
      </c>
      <c r="Q134" s="457" t="str">
        <f ca="1">IF(N(O134)&gt;0,VLOOKUP(O134,Hraci!$A$1:$I$1500,3,0)," ")</f>
        <v xml:space="preserve"> </v>
      </c>
      <c r="R134" s="457" t="str">
        <f ca="1">IF(N(O134)&gt;0,VLOOKUP(O134,Hraci!$A$1:$I$1500,5,0),IF(TYPE(INDIRECT(ADDRESS(ROW() + $A$9-8 + (ROW()-11)*4,3,1,1,"Internet")))&gt;1,INDIRECT(ADDRESS(ROW() + $A$9-8 + (ROW()-11)*4,3,1,1,"Internet"))," "))</f>
        <v xml:space="preserve"> </v>
      </c>
      <c r="S134" s="395">
        <f ca="1">IF(N(O134)=0,9999,VLOOKUP(O134,Hraci!$A$1:$I$1500,8,0))</f>
        <v>9999</v>
      </c>
      <c r="T134" s="458">
        <f ca="1">IF(N(O134)=0,0,VLOOKUP(O134,Hraci!$A$1:$I$1500,9,0))</f>
        <v>0</v>
      </c>
      <c r="U134" s="455" t="str">
        <f t="shared" ca="1" si="56"/>
        <v/>
      </c>
      <c r="V134" s="456" t="str">
        <f ca="1">IF(N(U134)&gt;0,VLOOKUP(U134,Hraci!$A$1:$I$1500,2,0),IF(TYPE(INDIRECT(ADDRESS(ROW() + $A$9-7 + (ROW()-11)*4,2,1,1,"Internet")))&gt;1,INDIRECT(ADDRESS(ROW() + $A$9-7 + (ROW()-11)*4,2,1,1,"Internet"))," "))</f>
        <v xml:space="preserve"> </v>
      </c>
      <c r="W134" s="457" t="str">
        <f ca="1">IF(N(U134)&gt;0,VLOOKUP(U134,Hraci!$A$1:$I$1500,3,0)," ")</f>
        <v xml:space="preserve"> </v>
      </c>
      <c r="X134" s="457" t="str">
        <f ca="1">IF(N(U134)&gt;0,VLOOKUP(U134,Hraci!$A$1:$I$1500,5,0),IF(TYPE(INDIRECT(ADDRESS(ROW() + $A$9-7 + (ROW()-11)*4,3,1,1,"Internet")))&gt;1,INDIRECT(ADDRESS(ROW() + $A$9-7 + (ROW()-11)*4,3,1,1,"Internet"))," "))</f>
        <v xml:space="preserve"> </v>
      </c>
      <c r="Y134" s="395">
        <f ca="1">IF(N(U134)=0,9999,VLOOKUP(U134,Hraci!$A$1:$I$1500,8,0))</f>
        <v>9999</v>
      </c>
      <c r="Z134" s="458">
        <f ca="1">IF(N(U134)=0,0,VLOOKUP(U134,Hraci!$A$1:$I$1500,9,0))</f>
        <v>0</v>
      </c>
      <c r="AA134" s="455" t="str">
        <f t="shared" ca="1" si="57"/>
        <v/>
      </c>
      <c r="AB134" s="456" t="str">
        <f ca="1">IF(N(AA134)&gt;0,VLOOKUP(AA134,Hraci!$A$1:$I$1500,2,0)," ")</f>
        <v xml:space="preserve"> </v>
      </c>
      <c r="AC134" s="457" t="str">
        <f ca="1">IF(N(AA134)&gt;0,VLOOKUP(AA134,Hraci!$A$1:$I$1500,3,0)," ")</f>
        <v xml:space="preserve"> </v>
      </c>
      <c r="AD134" s="457" t="str">
        <f ca="1">IF(N(AA134)&gt;0,VLOOKUP(AA134,Hraci!$A$1:$I$1500,5,0)," ")</f>
        <v xml:space="preserve"> </v>
      </c>
      <c r="AE134" s="395">
        <f ca="1">IF(N(AA134)=0,9999,VLOOKUP(AA134,Hraci!$A$1:$I$1500,8,0))</f>
        <v>9999</v>
      </c>
      <c r="AF134" s="458">
        <f ca="1">IF(N(AA134)=0,0,VLOOKUP(AA134,Hraci!$A$1:$I$1500,9,0))</f>
        <v>0</v>
      </c>
      <c r="AG134" s="459"/>
      <c r="AH134" s="465">
        <f ca="1">IF(TYPE(VLOOKUP(H134,Nasazení!$A$3:$E$130,5,0))&lt;4,VLOOKUP(H134,Nasazení!$A$3:$E$130,5,0),0)</f>
        <v>0</v>
      </c>
      <c r="AI134" s="460" t="str">
        <f ca="1">IF(N($AH134)&gt;0,VLOOKUP($AH134,Body!$A$4:$F$259,5,0),"")</f>
        <v/>
      </c>
      <c r="AJ134" s="461" t="str">
        <f ca="1">IF(N($AH134)&gt;0,VLOOKUP($AH134,Body!$A$4:$F$259,6,0),"")</f>
        <v/>
      </c>
      <c r="AK134" s="460" t="str">
        <f ca="1">IF(N($AH134)&gt;0,VLOOKUP($AH134,Body!$A$4:$F$259,2,0),"")</f>
        <v/>
      </c>
      <c r="AL134" s="462" t="str">
        <f t="shared" ca="1" si="58"/>
        <v/>
      </c>
      <c r="AM134" s="463">
        <f t="shared" ca="1" si="59"/>
        <v>0</v>
      </c>
      <c r="AN134" s="395">
        <f ca="1">IF(OR(TYPE(I134)&gt;1,TYPE(MATCH(I134,I135:I$139,0))&gt;1),0,MATCH(I134,I135:I$139,0))+IF(OR(TYPE(I134)&gt;1,TYPE(MATCH(I134,O$11:O$139,0))&gt;1),0,MATCH(I134,O$11:O$139,0))+IF(OR(TYPE(I134)&gt;1,TYPE(MATCH(I134,U$11:U$139,0))&gt;1),0,MATCH(I134,U$11:U$139,0))+IF(OR(TYPE(I134)&gt;1,TYPE(MATCH(I134,AA$11:AA$139,0))&gt;1),0,MATCH(I134,AA$11:AA$139,0))</f>
        <v>0</v>
      </c>
      <c r="AO134" s="395">
        <f ca="1">IF(OR(TYPE(O134)&gt;1,TYPE(MATCH(O134,I$11:I$139,0))&gt;1),0,MATCH(O134,I$11:I$139,0))+IF(OR(TYPE(O134)&gt;1,TYPE(MATCH(O134,O135:O$139,0))&gt;1),0,MATCH(O134,O135:O$139,0))+IF(OR(TYPE(O134)&gt;1,TYPE(MATCH(O134,U$11:U$139,0))&gt;1),0,MATCH(O134,U$11:U$139,0))+IF(OR(TYPE(O134)&gt;1,TYPE(MATCH(O134,AA$11:AA$139,0))&gt;1),0,MATCH(O134,AA$11:AA$139,0))</f>
        <v>0</v>
      </c>
      <c r="AP134" s="395">
        <f ca="1">IF(OR(TYPE(U134)&gt;1,TYPE(MATCH(U134,I$11:I$139,0))&gt;1),0,MATCH(U134,I$11:I$139,0))+IF(OR(TYPE(U134)&gt;1,TYPE(MATCH(U134,O$11:O$139,0))&gt;1),0,MATCH(U134,O$11:O$139,0))+IF(OR(TYPE(U134)&gt;1,TYPE(MATCH(U134,U135:U$139,0))&gt;1),0,MATCH(U134,U135:U$139,0))+IF(OR(TYPE(U134)&gt;1,TYPE(MATCH(U134,AA$11:AA$139,0))&gt;1),0,MATCH(U134,AA$11:AA$139,0))</f>
        <v>0</v>
      </c>
      <c r="AQ134" s="395">
        <f ca="1">IF(OR(TYPE(AA134)&gt;1,TYPE(MATCH(AA134,I$11:I$139,0))&gt;1),0,MATCH(AA134,I$11:I$139,0))+IF(OR(TYPE(AA134)&gt;1,TYPE(MATCH(AA134,O$11:O$139,0))&gt;1),0,MATCH(AA134,O$11:O$139,0))+IF(OR(TYPE(AA134)&gt;1,TYPE(MATCH(AA134,U$11:U$139,0))&gt;1),0,MATCH(U134,U$11:U$139,0))+IF(OR(TYPE(AA134)&gt;1,TYPE(MATCH(AA134,AA135:AA$139,0))&gt;1),0,MATCH(AA134,AA135:AA$139,0))</f>
        <v>0</v>
      </c>
      <c r="AR134" s="395">
        <f t="shared" ca="1" si="44"/>
        <v>0</v>
      </c>
      <c r="BF134" s="395">
        <f t="shared" si="45"/>
        <v>124</v>
      </c>
    </row>
    <row r="135" spans="1:58" ht="12.9">
      <c r="A135" s="387">
        <f t="shared" ca="1" si="46"/>
        <v>0</v>
      </c>
      <c r="B135" s="387">
        <f t="shared" ca="1" si="47"/>
        <v>0</v>
      </c>
      <c r="C135" s="387">
        <f t="shared" ca="1" si="48"/>
        <v>0</v>
      </c>
      <c r="D135" s="387">
        <f t="shared" ca="1" si="49"/>
        <v>99999</v>
      </c>
      <c r="E135" s="387">
        <f t="shared" ca="1" si="50"/>
        <v>9999</v>
      </c>
      <c r="F135" s="417" t="str">
        <f t="shared" ca="1" si="51"/>
        <v>00000000000000000000021268</v>
      </c>
      <c r="G135" s="453" t="b">
        <f t="shared" ca="1" si="52"/>
        <v>1</v>
      </c>
      <c r="H135" s="454">
        <f t="shared" si="53"/>
        <v>125</v>
      </c>
      <c r="I135" s="455" t="str">
        <f t="shared" ca="1" si="54"/>
        <v/>
      </c>
      <c r="J135" s="456" t="str">
        <f ca="1">IF(N(I135)&gt;0,VLOOKUP(I135,Hraci!$A$1:$I$1500,2,0),IF(TYPE(INDIRECT(ADDRESS(ROW() + $A$9-9 + (ROW()-11)*4,2,1,1,"Internet")))&gt;1,INDIRECT(ADDRESS(ROW() + $A$9-9 + (ROW()-11)*4,2,1,1,"Internet"))," "))</f>
        <v xml:space="preserve"> </v>
      </c>
      <c r="K135" s="457" t="str">
        <f ca="1">IF(N(I135)&gt;0,VLOOKUP(I135,Hraci!$A$1:$I$1500,3,0)," ")</f>
        <v xml:space="preserve"> </v>
      </c>
      <c r="L135" s="457" t="str">
        <f ca="1">IF(N(I135)&gt;0,VLOOKUP(I135,Hraci!$A$1:$I$1500,5,0),IF(TYPE(INDIRECT(ADDRESS(ROW() + $A$9-9 + (ROW()-11)*4,3,1,1,"Internet")))&gt;1,INDIRECT(ADDRESS(ROW() + $A$9-9 + (ROW()-11)*4,3,1,1,"Internet"))," "))</f>
        <v xml:space="preserve"> </v>
      </c>
      <c r="M135" s="395">
        <f ca="1">IF(N(I135)=0,9999,VLOOKUP(I135,Hraci!$A$1:$I$1500,8,0))</f>
        <v>9999</v>
      </c>
      <c r="N135" s="458">
        <f ca="1">IF(N(I135)=0,0,VLOOKUP(I135,Hraci!$A$1:$I$1500,9,0))</f>
        <v>0</v>
      </c>
      <c r="O135" s="455" t="str">
        <f t="shared" ca="1" si="55"/>
        <v/>
      </c>
      <c r="P135" s="456" t="str">
        <f ca="1">IF(N(O135)&gt;0,VLOOKUP(O135,Hraci!$A$1:$I$1500,2,0),IF(TYPE(INDIRECT(ADDRESS(ROW() + $A$9-8 + (ROW()-11)*4,2,1,1,"Internet")))&gt;1,INDIRECT(ADDRESS(ROW() + $A$9-8 + (ROW()-11)*4,2,1,1,"Internet"))," "))</f>
        <v xml:space="preserve"> </v>
      </c>
      <c r="Q135" s="457" t="str">
        <f ca="1">IF(N(O135)&gt;0,VLOOKUP(O135,Hraci!$A$1:$I$1500,3,0)," ")</f>
        <v xml:space="preserve"> </v>
      </c>
      <c r="R135" s="457" t="str">
        <f ca="1">IF(N(O135)&gt;0,VLOOKUP(O135,Hraci!$A$1:$I$1500,5,0),IF(TYPE(INDIRECT(ADDRESS(ROW() + $A$9-8 + (ROW()-11)*4,3,1,1,"Internet")))&gt;1,INDIRECT(ADDRESS(ROW() + $A$9-8 + (ROW()-11)*4,3,1,1,"Internet"))," "))</f>
        <v xml:space="preserve"> </v>
      </c>
      <c r="S135" s="395">
        <f ca="1">IF(N(O135)=0,9999,VLOOKUP(O135,Hraci!$A$1:$I$1500,8,0))</f>
        <v>9999</v>
      </c>
      <c r="T135" s="458">
        <f ca="1">IF(N(O135)=0,0,VLOOKUP(O135,Hraci!$A$1:$I$1500,9,0))</f>
        <v>0</v>
      </c>
      <c r="U135" s="455" t="str">
        <f t="shared" ca="1" si="56"/>
        <v/>
      </c>
      <c r="V135" s="456" t="str">
        <f ca="1">IF(N(U135)&gt;0,VLOOKUP(U135,Hraci!$A$1:$I$1500,2,0),IF(TYPE(INDIRECT(ADDRESS(ROW() + $A$9-7 + (ROW()-11)*4,2,1,1,"Internet")))&gt;1,INDIRECT(ADDRESS(ROW() + $A$9-7 + (ROW()-11)*4,2,1,1,"Internet"))," "))</f>
        <v xml:space="preserve"> </v>
      </c>
      <c r="W135" s="457" t="str">
        <f ca="1">IF(N(U135)&gt;0,VLOOKUP(U135,Hraci!$A$1:$I$1500,3,0)," ")</f>
        <v xml:space="preserve"> </v>
      </c>
      <c r="X135" s="457" t="str">
        <f ca="1">IF(N(U135)&gt;0,VLOOKUP(U135,Hraci!$A$1:$I$1500,5,0),IF(TYPE(INDIRECT(ADDRESS(ROW() + $A$9-7 + (ROW()-11)*4,3,1,1,"Internet")))&gt;1,INDIRECT(ADDRESS(ROW() + $A$9-7 + (ROW()-11)*4,3,1,1,"Internet"))," "))</f>
        <v xml:space="preserve"> </v>
      </c>
      <c r="Y135" s="395">
        <f ca="1">IF(N(U135)=0,9999,VLOOKUP(U135,Hraci!$A$1:$I$1500,8,0))</f>
        <v>9999</v>
      </c>
      <c r="Z135" s="458">
        <f ca="1">IF(N(U135)=0,0,VLOOKUP(U135,Hraci!$A$1:$I$1500,9,0))</f>
        <v>0</v>
      </c>
      <c r="AA135" s="455" t="str">
        <f t="shared" ca="1" si="57"/>
        <v/>
      </c>
      <c r="AB135" s="456" t="str">
        <f ca="1">IF(N(AA135)&gt;0,VLOOKUP(AA135,Hraci!$A$1:$I$1500,2,0)," ")</f>
        <v xml:space="preserve"> </v>
      </c>
      <c r="AC135" s="457" t="str">
        <f ca="1">IF(N(AA135)&gt;0,VLOOKUP(AA135,Hraci!$A$1:$I$1500,3,0)," ")</f>
        <v xml:space="preserve"> </v>
      </c>
      <c r="AD135" s="457" t="str">
        <f ca="1">IF(N(AA135)&gt;0,VLOOKUP(AA135,Hraci!$A$1:$I$1500,5,0)," ")</f>
        <v xml:space="preserve"> </v>
      </c>
      <c r="AE135" s="395">
        <f ca="1">IF(N(AA135)=0,9999,VLOOKUP(AA135,Hraci!$A$1:$I$1500,8,0))</f>
        <v>9999</v>
      </c>
      <c r="AF135" s="458">
        <f ca="1">IF(N(AA135)=0,0,VLOOKUP(AA135,Hraci!$A$1:$I$1500,9,0))</f>
        <v>0</v>
      </c>
      <c r="AG135" s="459"/>
      <c r="AH135" s="465">
        <f ca="1">IF(TYPE(VLOOKUP(H135,Nasazení!$A$3:$E$130,5,0))&lt;4,VLOOKUP(H135,Nasazení!$A$3:$E$130,5,0),0)</f>
        <v>0</v>
      </c>
      <c r="AI135" s="460" t="str">
        <f ca="1">IF(N($AH135)&gt;0,VLOOKUP($AH135,Body!$A$4:$F$259,5,0),"")</f>
        <v/>
      </c>
      <c r="AJ135" s="461" t="str">
        <f ca="1">IF(N($AH135)&gt;0,VLOOKUP($AH135,Body!$A$4:$F$259,6,0),"")</f>
        <v/>
      </c>
      <c r="AK135" s="460" t="str">
        <f ca="1">IF(N($AH135)&gt;0,VLOOKUP($AH135,Body!$A$4:$F$259,2,0),"")</f>
        <v/>
      </c>
      <c r="AL135" s="462" t="str">
        <f t="shared" ca="1" si="58"/>
        <v/>
      </c>
      <c r="AM135" s="463">
        <f t="shared" ca="1" si="59"/>
        <v>0</v>
      </c>
      <c r="AN135" s="395">
        <f ca="1">IF(OR(TYPE(I135)&gt;1,TYPE(MATCH(I135,I136:I$139,0))&gt;1),0,MATCH(I135,I136:I$139,0))+IF(OR(TYPE(I135)&gt;1,TYPE(MATCH(I135,O$11:O$139,0))&gt;1),0,MATCH(I135,O$11:O$139,0))+IF(OR(TYPE(I135)&gt;1,TYPE(MATCH(I135,U$11:U$139,0))&gt;1),0,MATCH(I135,U$11:U$139,0))+IF(OR(TYPE(I135)&gt;1,TYPE(MATCH(I135,AA$11:AA$139,0))&gt;1),0,MATCH(I135,AA$11:AA$139,0))</f>
        <v>0</v>
      </c>
      <c r="AO135" s="395">
        <f ca="1">IF(OR(TYPE(O135)&gt;1,TYPE(MATCH(O135,I$11:I$139,0))&gt;1),0,MATCH(O135,I$11:I$139,0))+IF(OR(TYPE(O135)&gt;1,TYPE(MATCH(O135,O136:O$139,0))&gt;1),0,MATCH(O135,O136:O$139,0))+IF(OR(TYPE(O135)&gt;1,TYPE(MATCH(O135,U$11:U$139,0))&gt;1),0,MATCH(O135,U$11:U$139,0))+IF(OR(TYPE(O135)&gt;1,TYPE(MATCH(O135,AA$11:AA$139,0))&gt;1),0,MATCH(O135,AA$11:AA$139,0))</f>
        <v>0</v>
      </c>
      <c r="AP135" s="395">
        <f ca="1">IF(OR(TYPE(U135)&gt;1,TYPE(MATCH(U135,I$11:I$139,0))&gt;1),0,MATCH(U135,I$11:I$139,0))+IF(OR(TYPE(U135)&gt;1,TYPE(MATCH(U135,O$11:O$139,0))&gt;1),0,MATCH(U135,O$11:O$139,0))+IF(OR(TYPE(U135)&gt;1,TYPE(MATCH(U135,U136:U$139,0))&gt;1),0,MATCH(U135,U136:U$139,0))+IF(OR(TYPE(U135)&gt;1,TYPE(MATCH(U135,AA$11:AA$139,0))&gt;1),0,MATCH(U135,AA$11:AA$139,0))</f>
        <v>0</v>
      </c>
      <c r="AQ135" s="395">
        <f ca="1">IF(OR(TYPE(AA135)&gt;1,TYPE(MATCH(AA135,I$11:I$139,0))&gt;1),0,MATCH(AA135,I$11:I$139,0))+IF(OR(TYPE(AA135)&gt;1,TYPE(MATCH(AA135,O$11:O$139,0))&gt;1),0,MATCH(AA135,O$11:O$139,0))+IF(OR(TYPE(AA135)&gt;1,TYPE(MATCH(AA135,U$11:U$139,0))&gt;1),0,MATCH(U135,U$11:U$139,0))+IF(OR(TYPE(AA135)&gt;1,TYPE(MATCH(AA135,AA136:AA$139,0))&gt;1),0,MATCH(AA135,AA136:AA$139,0))</f>
        <v>0</v>
      </c>
      <c r="AR135" s="395">
        <f t="shared" ca="1" si="44"/>
        <v>0</v>
      </c>
      <c r="BF135" s="395">
        <f t="shared" si="45"/>
        <v>125</v>
      </c>
    </row>
    <row r="136" spans="1:58" ht="12.9">
      <c r="A136" s="387">
        <f t="shared" ca="1" si="46"/>
        <v>0</v>
      </c>
      <c r="B136" s="387">
        <f t="shared" ca="1" si="47"/>
        <v>0</v>
      </c>
      <c r="C136" s="387">
        <f t="shared" ca="1" si="48"/>
        <v>0</v>
      </c>
      <c r="D136" s="387">
        <f t="shared" ca="1" si="49"/>
        <v>99999</v>
      </c>
      <c r="E136" s="387">
        <f t="shared" ca="1" si="50"/>
        <v>9999</v>
      </c>
      <c r="F136" s="417" t="str">
        <f t="shared" ca="1" si="51"/>
        <v>00000000000000000000542230</v>
      </c>
      <c r="G136" s="453" t="b">
        <f t="shared" ca="1" si="52"/>
        <v>1</v>
      </c>
      <c r="H136" s="454">
        <f t="shared" si="53"/>
        <v>126</v>
      </c>
      <c r="I136" s="455" t="str">
        <f t="shared" ca="1" si="54"/>
        <v/>
      </c>
      <c r="J136" s="456" t="str">
        <f ca="1">IF(N(I136)&gt;0,VLOOKUP(I136,Hraci!$A$1:$I$1500,2,0),IF(TYPE(INDIRECT(ADDRESS(ROW() + $A$9-9 + (ROW()-11)*4,2,1,1,"Internet")))&gt;1,INDIRECT(ADDRESS(ROW() + $A$9-9 + (ROW()-11)*4,2,1,1,"Internet"))," "))</f>
        <v xml:space="preserve"> </v>
      </c>
      <c r="K136" s="457" t="str">
        <f ca="1">IF(N(I136)&gt;0,VLOOKUP(I136,Hraci!$A$1:$I$1500,3,0)," ")</f>
        <v xml:space="preserve"> </v>
      </c>
      <c r="L136" s="457" t="str">
        <f ca="1">IF(N(I136)&gt;0,VLOOKUP(I136,Hraci!$A$1:$I$1500,5,0),IF(TYPE(INDIRECT(ADDRESS(ROW() + $A$9-9 + (ROW()-11)*4,3,1,1,"Internet")))&gt;1,INDIRECT(ADDRESS(ROW() + $A$9-9 + (ROW()-11)*4,3,1,1,"Internet"))," "))</f>
        <v xml:space="preserve"> </v>
      </c>
      <c r="M136" s="395">
        <f ca="1">IF(N(I136)=0,9999,VLOOKUP(I136,Hraci!$A$1:$I$1500,8,0))</f>
        <v>9999</v>
      </c>
      <c r="N136" s="458">
        <f ca="1">IF(N(I136)=0,0,VLOOKUP(I136,Hraci!$A$1:$I$1500,9,0))</f>
        <v>0</v>
      </c>
      <c r="O136" s="455" t="str">
        <f t="shared" ca="1" si="55"/>
        <v/>
      </c>
      <c r="P136" s="456" t="str">
        <f ca="1">IF(N(O136)&gt;0,VLOOKUP(O136,Hraci!$A$1:$I$1500,2,0),IF(TYPE(INDIRECT(ADDRESS(ROW() + $A$9-8 + (ROW()-11)*4,2,1,1,"Internet")))&gt;1,INDIRECT(ADDRESS(ROW() + $A$9-8 + (ROW()-11)*4,2,1,1,"Internet"))," "))</f>
        <v xml:space="preserve"> </v>
      </c>
      <c r="Q136" s="457" t="str">
        <f ca="1">IF(N(O136)&gt;0,VLOOKUP(O136,Hraci!$A$1:$I$1500,3,0)," ")</f>
        <v xml:space="preserve"> </v>
      </c>
      <c r="R136" s="457" t="str">
        <f ca="1">IF(N(O136)&gt;0,VLOOKUP(O136,Hraci!$A$1:$I$1500,5,0),IF(TYPE(INDIRECT(ADDRESS(ROW() + $A$9-8 + (ROW()-11)*4,3,1,1,"Internet")))&gt;1,INDIRECT(ADDRESS(ROW() + $A$9-8 + (ROW()-11)*4,3,1,1,"Internet"))," "))</f>
        <v xml:space="preserve"> </v>
      </c>
      <c r="S136" s="395">
        <f ca="1">IF(N(O136)=0,9999,VLOOKUP(O136,Hraci!$A$1:$I$1500,8,0))</f>
        <v>9999</v>
      </c>
      <c r="T136" s="458">
        <f ca="1">IF(N(O136)=0,0,VLOOKUP(O136,Hraci!$A$1:$I$1500,9,0))</f>
        <v>0</v>
      </c>
      <c r="U136" s="455" t="str">
        <f t="shared" ca="1" si="56"/>
        <v/>
      </c>
      <c r="V136" s="456" t="str">
        <f ca="1">IF(N(U136)&gt;0,VLOOKUP(U136,Hraci!$A$1:$I$1500,2,0),IF(TYPE(INDIRECT(ADDRESS(ROW() + $A$9-7 + (ROW()-11)*4,2,1,1,"Internet")))&gt;1,INDIRECT(ADDRESS(ROW() + $A$9-7 + (ROW()-11)*4,2,1,1,"Internet"))," "))</f>
        <v xml:space="preserve"> </v>
      </c>
      <c r="W136" s="457" t="str">
        <f ca="1">IF(N(U136)&gt;0,VLOOKUP(U136,Hraci!$A$1:$I$1500,3,0)," ")</f>
        <v xml:space="preserve"> </v>
      </c>
      <c r="X136" s="457" t="str">
        <f ca="1">IF(N(U136)&gt;0,VLOOKUP(U136,Hraci!$A$1:$I$1500,5,0),IF(TYPE(INDIRECT(ADDRESS(ROW() + $A$9-7 + (ROW()-11)*4,3,1,1,"Internet")))&gt;1,INDIRECT(ADDRESS(ROW() + $A$9-7 + (ROW()-11)*4,3,1,1,"Internet"))," "))</f>
        <v xml:space="preserve"> </v>
      </c>
      <c r="Y136" s="395">
        <f ca="1">IF(N(U136)=0,9999,VLOOKUP(U136,Hraci!$A$1:$I$1500,8,0))</f>
        <v>9999</v>
      </c>
      <c r="Z136" s="458">
        <f ca="1">IF(N(U136)=0,0,VLOOKUP(U136,Hraci!$A$1:$I$1500,9,0))</f>
        <v>0</v>
      </c>
      <c r="AA136" s="455" t="str">
        <f t="shared" ca="1" si="57"/>
        <v/>
      </c>
      <c r="AB136" s="456" t="str">
        <f ca="1">IF(N(AA136)&gt;0,VLOOKUP(AA136,Hraci!$A$1:$I$1500,2,0)," ")</f>
        <v xml:space="preserve"> </v>
      </c>
      <c r="AC136" s="457" t="str">
        <f ca="1">IF(N(AA136)&gt;0,VLOOKUP(AA136,Hraci!$A$1:$I$1500,3,0)," ")</f>
        <v xml:space="preserve"> </v>
      </c>
      <c r="AD136" s="457" t="str">
        <f ca="1">IF(N(AA136)&gt;0,VLOOKUP(AA136,Hraci!$A$1:$I$1500,5,0)," ")</f>
        <v xml:space="preserve"> </v>
      </c>
      <c r="AE136" s="395">
        <f ca="1">IF(N(AA136)=0,9999,VLOOKUP(AA136,Hraci!$A$1:$I$1500,8,0))</f>
        <v>9999</v>
      </c>
      <c r="AF136" s="458">
        <f ca="1">IF(N(AA136)=0,0,VLOOKUP(AA136,Hraci!$A$1:$I$1500,9,0))</f>
        <v>0</v>
      </c>
      <c r="AG136" s="459"/>
      <c r="AH136" s="465">
        <f ca="1">IF(TYPE(VLOOKUP(H136,Nasazení!$A$3:$E$130,5,0))&lt;4,VLOOKUP(H136,Nasazení!$A$3:$E$130,5,0),0)</f>
        <v>0</v>
      </c>
      <c r="AI136" s="460" t="str">
        <f ca="1">IF(N($AH136)&gt;0,VLOOKUP($AH136,Body!$A$4:$F$259,5,0),"")</f>
        <v/>
      </c>
      <c r="AJ136" s="461" t="str">
        <f ca="1">IF(N($AH136)&gt;0,VLOOKUP($AH136,Body!$A$4:$F$259,6,0),"")</f>
        <v/>
      </c>
      <c r="AK136" s="460" t="str">
        <f ca="1">IF(N($AH136)&gt;0,VLOOKUP($AH136,Body!$A$4:$F$259,2,0),"")</f>
        <v/>
      </c>
      <c r="AL136" s="462" t="str">
        <f t="shared" ca="1" si="58"/>
        <v/>
      </c>
      <c r="AM136" s="463">
        <f t="shared" ca="1" si="59"/>
        <v>0</v>
      </c>
      <c r="AN136" s="395">
        <f ca="1">IF(OR(TYPE(I136)&gt;1,TYPE(MATCH(I136,I137:I$139,0))&gt;1),0,MATCH(I136,I137:I$139,0))+IF(OR(TYPE(I136)&gt;1,TYPE(MATCH(I136,O$11:O$139,0))&gt;1),0,MATCH(I136,O$11:O$139,0))+IF(OR(TYPE(I136)&gt;1,TYPE(MATCH(I136,U$11:U$139,0))&gt;1),0,MATCH(I136,U$11:U$139,0))+IF(OR(TYPE(I136)&gt;1,TYPE(MATCH(I136,AA$11:AA$139,0))&gt;1),0,MATCH(I136,AA$11:AA$139,0))</f>
        <v>0</v>
      </c>
      <c r="AO136" s="395">
        <f ca="1">IF(OR(TYPE(O136)&gt;1,TYPE(MATCH(O136,I$11:I$139,0))&gt;1),0,MATCH(O136,I$11:I$139,0))+IF(OR(TYPE(O136)&gt;1,TYPE(MATCH(O136,O137:O$139,0))&gt;1),0,MATCH(O136,O137:O$139,0))+IF(OR(TYPE(O136)&gt;1,TYPE(MATCH(O136,U$11:U$139,0))&gt;1),0,MATCH(O136,U$11:U$139,0))+IF(OR(TYPE(O136)&gt;1,TYPE(MATCH(O136,AA$11:AA$139,0))&gt;1),0,MATCH(O136,AA$11:AA$139,0))</f>
        <v>0</v>
      </c>
      <c r="AP136" s="395">
        <f ca="1">IF(OR(TYPE(U136)&gt;1,TYPE(MATCH(U136,I$11:I$139,0))&gt;1),0,MATCH(U136,I$11:I$139,0))+IF(OR(TYPE(U136)&gt;1,TYPE(MATCH(U136,O$11:O$139,0))&gt;1),0,MATCH(U136,O$11:O$139,0))+IF(OR(TYPE(U136)&gt;1,TYPE(MATCH(U136,U137:U$139,0))&gt;1),0,MATCH(U136,U137:U$139,0))+IF(OR(TYPE(U136)&gt;1,TYPE(MATCH(U136,AA$11:AA$139,0))&gt;1),0,MATCH(U136,AA$11:AA$139,0))</f>
        <v>0</v>
      </c>
      <c r="AQ136" s="395">
        <f ca="1">IF(OR(TYPE(AA136)&gt;1,TYPE(MATCH(AA136,I$11:I$139,0))&gt;1),0,MATCH(AA136,I$11:I$139,0))+IF(OR(TYPE(AA136)&gt;1,TYPE(MATCH(AA136,O$11:O$139,0))&gt;1),0,MATCH(AA136,O$11:O$139,0))+IF(OR(TYPE(AA136)&gt;1,TYPE(MATCH(AA136,U$11:U$139,0))&gt;1),0,MATCH(U136,U$11:U$139,0))+IF(OR(TYPE(AA136)&gt;1,TYPE(MATCH(AA136,AA137:AA$139,0))&gt;1),0,MATCH(AA136,AA137:AA$139,0))</f>
        <v>0</v>
      </c>
      <c r="AR136" s="395">
        <f t="shared" ca="1" si="44"/>
        <v>0</v>
      </c>
      <c r="BF136" s="395">
        <f t="shared" si="45"/>
        <v>126</v>
      </c>
    </row>
    <row r="137" spans="1:58" ht="12.9">
      <c r="A137" s="387">
        <f t="shared" ca="1" si="46"/>
        <v>0</v>
      </c>
      <c r="B137" s="387">
        <f t="shared" ca="1" si="47"/>
        <v>0</v>
      </c>
      <c r="C137" s="387">
        <f t="shared" ca="1" si="48"/>
        <v>0</v>
      </c>
      <c r="D137" s="387">
        <f t="shared" ca="1" si="49"/>
        <v>99999</v>
      </c>
      <c r="E137" s="387">
        <f t="shared" ca="1" si="50"/>
        <v>9999</v>
      </c>
      <c r="F137" s="417" t="str">
        <f t="shared" ca="1" si="51"/>
        <v>00000000000000000000531267</v>
      </c>
      <c r="G137" s="453" t="b">
        <f t="shared" ca="1" si="52"/>
        <v>1</v>
      </c>
      <c r="H137" s="454">
        <f t="shared" si="53"/>
        <v>127</v>
      </c>
      <c r="I137" s="455" t="str">
        <f t="shared" ca="1" si="54"/>
        <v/>
      </c>
      <c r="J137" s="456" t="str">
        <f ca="1">IF(N(I137)&gt;0,VLOOKUP(I137,Hraci!$A$1:$I$1500,2,0),IF(TYPE(INDIRECT(ADDRESS(ROW() + $A$9-9 + (ROW()-11)*4,2,1,1,"Internet")))&gt;1,INDIRECT(ADDRESS(ROW() + $A$9-9 + (ROW()-11)*4,2,1,1,"Internet"))," "))</f>
        <v xml:space="preserve"> </v>
      </c>
      <c r="K137" s="457" t="str">
        <f ca="1">IF(N(I137)&gt;0,VLOOKUP(I137,Hraci!$A$1:$I$1500,3,0)," ")</f>
        <v xml:space="preserve"> </v>
      </c>
      <c r="L137" s="457" t="str">
        <f ca="1">IF(N(I137)&gt;0,VLOOKUP(I137,Hraci!$A$1:$I$1500,5,0),IF(TYPE(INDIRECT(ADDRESS(ROW() + $A$9-9 + (ROW()-11)*4,3,1,1,"Internet")))&gt;1,INDIRECT(ADDRESS(ROW() + $A$9-9 + (ROW()-11)*4,3,1,1,"Internet"))," "))</f>
        <v xml:space="preserve"> </v>
      </c>
      <c r="M137" s="395">
        <f ca="1">IF(N(I137)=0,9999,VLOOKUP(I137,Hraci!$A$1:$I$1500,8,0))</f>
        <v>9999</v>
      </c>
      <c r="N137" s="458">
        <f ca="1">IF(N(I137)=0,0,VLOOKUP(I137,Hraci!$A$1:$I$1500,9,0))</f>
        <v>0</v>
      </c>
      <c r="O137" s="455" t="str">
        <f t="shared" ca="1" si="55"/>
        <v/>
      </c>
      <c r="P137" s="456" t="str">
        <f ca="1">IF(N(O137)&gt;0,VLOOKUP(O137,Hraci!$A$1:$I$1500,2,0),IF(TYPE(INDIRECT(ADDRESS(ROW() + $A$9-8 + (ROW()-11)*4,2,1,1,"Internet")))&gt;1,INDIRECT(ADDRESS(ROW() + $A$9-8 + (ROW()-11)*4,2,1,1,"Internet"))," "))</f>
        <v xml:space="preserve"> </v>
      </c>
      <c r="Q137" s="457" t="str">
        <f ca="1">IF(N(O137)&gt;0,VLOOKUP(O137,Hraci!$A$1:$I$1500,3,0)," ")</f>
        <v xml:space="preserve"> </v>
      </c>
      <c r="R137" s="457" t="str">
        <f ca="1">IF(N(O137)&gt;0,VLOOKUP(O137,Hraci!$A$1:$I$1500,5,0),IF(TYPE(INDIRECT(ADDRESS(ROW() + $A$9-8 + (ROW()-11)*4,3,1,1,"Internet")))&gt;1,INDIRECT(ADDRESS(ROW() + $A$9-8 + (ROW()-11)*4,3,1,1,"Internet"))," "))</f>
        <v xml:space="preserve"> </v>
      </c>
      <c r="S137" s="395">
        <f ca="1">IF(N(O137)=0,9999,VLOOKUP(O137,Hraci!$A$1:$I$1500,8,0))</f>
        <v>9999</v>
      </c>
      <c r="T137" s="458">
        <f ca="1">IF(N(O137)=0,0,VLOOKUP(O137,Hraci!$A$1:$I$1500,9,0))</f>
        <v>0</v>
      </c>
      <c r="U137" s="455" t="str">
        <f t="shared" ca="1" si="56"/>
        <v/>
      </c>
      <c r="V137" s="456" t="str">
        <f ca="1">IF(N(U137)&gt;0,VLOOKUP(U137,Hraci!$A$1:$I$1500,2,0),IF(TYPE(INDIRECT(ADDRESS(ROW() + $A$9-7 + (ROW()-11)*4,2,1,1,"Internet")))&gt;1,INDIRECT(ADDRESS(ROW() + $A$9-7 + (ROW()-11)*4,2,1,1,"Internet"))," "))</f>
        <v xml:space="preserve"> </v>
      </c>
      <c r="W137" s="457" t="str">
        <f ca="1">IF(N(U137)&gt;0,VLOOKUP(U137,Hraci!$A$1:$I$1500,3,0)," ")</f>
        <v xml:space="preserve"> </v>
      </c>
      <c r="X137" s="457" t="str">
        <f ca="1">IF(N(U137)&gt;0,VLOOKUP(U137,Hraci!$A$1:$I$1500,5,0),IF(TYPE(INDIRECT(ADDRESS(ROW() + $A$9-7 + (ROW()-11)*4,3,1,1,"Internet")))&gt;1,INDIRECT(ADDRESS(ROW() + $A$9-7 + (ROW()-11)*4,3,1,1,"Internet"))," "))</f>
        <v xml:space="preserve"> </v>
      </c>
      <c r="Y137" s="395">
        <f ca="1">IF(N(U137)=0,9999,VLOOKUP(U137,Hraci!$A$1:$I$1500,8,0))</f>
        <v>9999</v>
      </c>
      <c r="Z137" s="458">
        <f ca="1">IF(N(U137)=0,0,VLOOKUP(U137,Hraci!$A$1:$I$1500,9,0))</f>
        <v>0</v>
      </c>
      <c r="AA137" s="455" t="str">
        <f t="shared" ca="1" si="57"/>
        <v/>
      </c>
      <c r="AB137" s="456" t="str">
        <f ca="1">IF(N(AA137)&gt;0,VLOOKUP(AA137,Hraci!$A$1:$I$1500,2,0)," ")</f>
        <v xml:space="preserve"> </v>
      </c>
      <c r="AC137" s="457" t="str">
        <f ca="1">IF(N(AA137)&gt;0,VLOOKUP(AA137,Hraci!$A$1:$I$1500,3,0)," ")</f>
        <v xml:space="preserve"> </v>
      </c>
      <c r="AD137" s="457" t="str">
        <f ca="1">IF(N(AA137)&gt;0,VLOOKUP(AA137,Hraci!$A$1:$I$1500,5,0)," ")</f>
        <v xml:space="preserve"> </v>
      </c>
      <c r="AE137" s="395">
        <f ca="1">IF(N(AA137)=0,9999,VLOOKUP(AA137,Hraci!$A$1:$I$1500,8,0))</f>
        <v>9999</v>
      </c>
      <c r="AF137" s="458">
        <f ca="1">IF(N(AA137)=0,0,VLOOKUP(AA137,Hraci!$A$1:$I$1500,9,0))</f>
        <v>0</v>
      </c>
      <c r="AG137" s="459"/>
      <c r="AH137" s="465">
        <f ca="1">IF(TYPE(VLOOKUP(H137,Nasazení!$A$3:$E$130,5,0))&lt;4,VLOOKUP(H137,Nasazení!$A$3:$E$130,5,0),0)</f>
        <v>0</v>
      </c>
      <c r="AI137" s="460" t="str">
        <f ca="1">IF(N($AH137)&gt;0,VLOOKUP($AH137,Body!$A$4:$F$259,5,0),"")</f>
        <v/>
      </c>
      <c r="AJ137" s="461" t="str">
        <f ca="1">IF(N($AH137)&gt;0,VLOOKUP($AH137,Body!$A$4:$F$259,6,0),"")</f>
        <v/>
      </c>
      <c r="AK137" s="460" t="str">
        <f ca="1">IF(N($AH137)&gt;0,VLOOKUP($AH137,Body!$A$4:$F$259,2,0),"")</f>
        <v/>
      </c>
      <c r="AL137" s="462" t="str">
        <f t="shared" ca="1" si="58"/>
        <v/>
      </c>
      <c r="AM137" s="463">
        <f t="shared" ca="1" si="59"/>
        <v>0</v>
      </c>
      <c r="AN137" s="395">
        <f ca="1">IF(OR(TYPE(I137)&gt;1,TYPE(MATCH(I137,I138:I$139,0))&gt;1),0,MATCH(I137,I138:I$139,0))+IF(OR(TYPE(I137)&gt;1,TYPE(MATCH(I137,O$11:O$139,0))&gt;1),0,MATCH(I137,O$11:O$139,0))+IF(OR(TYPE(I137)&gt;1,TYPE(MATCH(I137,U$11:U$139,0))&gt;1),0,MATCH(I137,U$11:U$139,0))+IF(OR(TYPE(I137)&gt;1,TYPE(MATCH(I137,AA$11:AA$139,0))&gt;1),0,MATCH(I137,AA$11:AA$139,0))</f>
        <v>0</v>
      </c>
      <c r="AO137" s="395">
        <f ca="1">IF(OR(TYPE(O137)&gt;1,TYPE(MATCH(O137,I$11:I$139,0))&gt;1),0,MATCH(O137,I$11:I$139,0))+IF(OR(TYPE(O137)&gt;1,TYPE(MATCH(O137,O138:O$139,0))&gt;1),0,MATCH(O137,O138:O$139,0))+IF(OR(TYPE(O137)&gt;1,TYPE(MATCH(O137,U$11:U$139,0))&gt;1),0,MATCH(O137,U$11:U$139,0))+IF(OR(TYPE(O137)&gt;1,TYPE(MATCH(O137,AA$11:AA$139,0))&gt;1),0,MATCH(O137,AA$11:AA$139,0))</f>
        <v>0</v>
      </c>
      <c r="AP137" s="395">
        <f ca="1">IF(OR(TYPE(U137)&gt;1,TYPE(MATCH(U137,I$11:I$139,0))&gt;1),0,MATCH(U137,I$11:I$139,0))+IF(OR(TYPE(U137)&gt;1,TYPE(MATCH(U137,O$11:O$139,0))&gt;1),0,MATCH(U137,O$11:O$139,0))+IF(OR(TYPE(U137)&gt;1,TYPE(MATCH(U137,U138:U$139,0))&gt;1),0,MATCH(U137,U138:U$139,0))+IF(OR(TYPE(U137)&gt;1,TYPE(MATCH(U137,AA$11:AA$139,0))&gt;1),0,MATCH(U137,AA$11:AA$139,0))</f>
        <v>0</v>
      </c>
      <c r="AQ137" s="395">
        <f ca="1">IF(OR(TYPE(AA137)&gt;1,TYPE(MATCH(AA137,I$11:I$139,0))&gt;1),0,MATCH(AA137,I$11:I$139,0))+IF(OR(TYPE(AA137)&gt;1,TYPE(MATCH(AA137,O$11:O$139,0))&gt;1),0,MATCH(AA137,O$11:O$139,0))+IF(OR(TYPE(AA137)&gt;1,TYPE(MATCH(AA137,U$11:U$139,0))&gt;1),0,MATCH(U137,U$11:U$139,0))+IF(OR(TYPE(AA137)&gt;1,TYPE(MATCH(AA137,AA138:AA$139,0))&gt;1),0,MATCH(AA137,AA138:AA$139,0))</f>
        <v>0</v>
      </c>
      <c r="AR137" s="395">
        <f t="shared" ca="1" si="44"/>
        <v>0</v>
      </c>
      <c r="BF137" s="395">
        <f t="shared" si="45"/>
        <v>127</v>
      </c>
    </row>
    <row r="138" spans="1:58" ht="12.9">
      <c r="A138" s="387">
        <f t="shared" ca="1" si="46"/>
        <v>0</v>
      </c>
      <c r="B138" s="387">
        <f t="shared" ca="1" si="47"/>
        <v>0</v>
      </c>
      <c r="C138" s="387">
        <f t="shared" ca="1" si="48"/>
        <v>0</v>
      </c>
      <c r="D138" s="387">
        <f t="shared" ca="1" si="49"/>
        <v>99999</v>
      </c>
      <c r="E138" s="387">
        <f t="shared" ca="1" si="50"/>
        <v>9999</v>
      </c>
      <c r="F138" s="417" t="str">
        <f t="shared" ca="1" si="51"/>
        <v>00000000000000000000842763</v>
      </c>
      <c r="G138" s="453" t="b">
        <f t="shared" ca="1" si="52"/>
        <v>1</v>
      </c>
      <c r="H138" s="454">
        <f t="shared" si="53"/>
        <v>128</v>
      </c>
      <c r="I138" s="455" t="str">
        <f t="shared" ca="1" si="54"/>
        <v/>
      </c>
      <c r="J138" s="456" t="str">
        <f ca="1">IF(N(I138)&gt;0,VLOOKUP(I138,Hraci!$A$1:$I$1500,2,0),IF(TYPE(INDIRECT(ADDRESS(ROW() + $A$9-9 + (ROW()-11)*4,2,1,1,"Internet")))&gt;1,INDIRECT(ADDRESS(ROW() + $A$9-9 + (ROW()-11)*4,2,1,1,"Internet"))," "))</f>
        <v xml:space="preserve"> </v>
      </c>
      <c r="K138" s="457" t="str">
        <f ca="1">IF(N(I138)&gt;0,VLOOKUP(I138,Hraci!$A$1:$I$1500,3,0)," ")</f>
        <v xml:space="preserve"> </v>
      </c>
      <c r="L138" s="457" t="str">
        <f ca="1">IF(N(I138)&gt;0,VLOOKUP(I138,Hraci!$A$1:$I$1500,5,0),IF(TYPE(INDIRECT(ADDRESS(ROW() + $A$9-9 + (ROW()-11)*4,3,1,1,"Internet")))&gt;1,INDIRECT(ADDRESS(ROW() + $A$9-9 + (ROW()-11)*4,3,1,1,"Internet"))," "))</f>
        <v xml:space="preserve"> </v>
      </c>
      <c r="M138" s="395">
        <f ca="1">IF(N(I138)=0,9999,VLOOKUP(I138,Hraci!$A$1:$I$1500,8,0))</f>
        <v>9999</v>
      </c>
      <c r="N138" s="458">
        <f ca="1">IF(N(I138)=0,0,VLOOKUP(I138,Hraci!$A$1:$I$1500,9,0))</f>
        <v>0</v>
      </c>
      <c r="O138" s="455" t="str">
        <f t="shared" ca="1" si="55"/>
        <v/>
      </c>
      <c r="P138" s="456" t="str">
        <f ca="1">IF(N(O138)&gt;0,VLOOKUP(O138,Hraci!$A$1:$I$1500,2,0),IF(TYPE(INDIRECT(ADDRESS(ROW() + $A$9-8 + (ROW()-11)*4,2,1,1,"Internet")))&gt;1,INDIRECT(ADDRESS(ROW() + $A$9-8 + (ROW()-11)*4,2,1,1,"Internet"))," "))</f>
        <v xml:space="preserve"> </v>
      </c>
      <c r="Q138" s="457" t="str">
        <f ca="1">IF(N(O138)&gt;0,VLOOKUP(O138,Hraci!$A$1:$I$1500,3,0)," ")</f>
        <v xml:space="preserve"> </v>
      </c>
      <c r="R138" s="457" t="str">
        <f ca="1">IF(N(O138)&gt;0,VLOOKUP(O138,Hraci!$A$1:$I$1500,5,0),IF(TYPE(INDIRECT(ADDRESS(ROW() + $A$9-8 + (ROW()-11)*4,3,1,1,"Internet")))&gt;1,INDIRECT(ADDRESS(ROW() + $A$9-8 + (ROW()-11)*4,3,1,1,"Internet"))," "))</f>
        <v xml:space="preserve"> </v>
      </c>
      <c r="S138" s="395">
        <f ca="1">IF(N(O138)=0,9999,VLOOKUP(O138,Hraci!$A$1:$I$1500,8,0))</f>
        <v>9999</v>
      </c>
      <c r="T138" s="458">
        <f ca="1">IF(N(O138)=0,0,VLOOKUP(O138,Hraci!$A$1:$I$1500,9,0))</f>
        <v>0</v>
      </c>
      <c r="U138" s="455" t="str">
        <f t="shared" ca="1" si="56"/>
        <v/>
      </c>
      <c r="V138" s="456" t="str">
        <f ca="1">IF(N(U138)&gt;0,VLOOKUP(U138,Hraci!$A$1:$I$1500,2,0),IF(TYPE(INDIRECT(ADDRESS(ROW() + $A$9-7 + (ROW()-11)*4,2,1,1,"Internet")))&gt;1,INDIRECT(ADDRESS(ROW() + $A$9-7 + (ROW()-11)*4,2,1,1,"Internet"))," "))</f>
        <v xml:space="preserve"> </v>
      </c>
      <c r="W138" s="457" t="str">
        <f ca="1">IF(N(U138)&gt;0,VLOOKUP(U138,Hraci!$A$1:$I$1500,3,0)," ")</f>
        <v xml:space="preserve"> </v>
      </c>
      <c r="X138" s="457" t="str">
        <f ca="1">IF(N(U138)&gt;0,VLOOKUP(U138,Hraci!$A$1:$I$1500,5,0),IF(TYPE(INDIRECT(ADDRESS(ROW() + $A$9-7 + (ROW()-11)*4,3,1,1,"Internet")))&gt;1,INDIRECT(ADDRESS(ROW() + $A$9-7 + (ROW()-11)*4,3,1,1,"Internet"))," "))</f>
        <v xml:space="preserve"> </v>
      </c>
      <c r="Y138" s="395">
        <f ca="1">IF(N(U138)=0,9999,VLOOKUP(U138,Hraci!$A$1:$I$1500,8,0))</f>
        <v>9999</v>
      </c>
      <c r="Z138" s="458">
        <f ca="1">IF(N(U138)=0,0,VLOOKUP(U138,Hraci!$A$1:$I$1500,9,0))</f>
        <v>0</v>
      </c>
      <c r="AA138" s="455" t="str">
        <f t="shared" ca="1" si="57"/>
        <v/>
      </c>
      <c r="AB138" s="456" t="str">
        <f ca="1">IF(N(AA138)&gt;0,VLOOKUP(AA138,Hraci!$A$1:$I$1500,2,0)," ")</f>
        <v xml:space="preserve"> </v>
      </c>
      <c r="AC138" s="457" t="str">
        <f ca="1">IF(N(AA138)&gt;0,VLOOKUP(AA138,Hraci!$A$1:$I$1500,3,0)," ")</f>
        <v xml:space="preserve"> </v>
      </c>
      <c r="AD138" s="457" t="str">
        <f ca="1">IF(N(AA138)&gt;0,VLOOKUP(AA138,Hraci!$A$1:$I$1500,5,0)," ")</f>
        <v xml:space="preserve"> </v>
      </c>
      <c r="AE138" s="395">
        <f ca="1">IF(N(AA138)=0,9999,VLOOKUP(AA138,Hraci!$A$1:$I$1500,8,0))</f>
        <v>9999</v>
      </c>
      <c r="AF138" s="458">
        <f ca="1">IF(N(AA138)=0,0,VLOOKUP(AA138,Hraci!$A$1:$I$1500,9,0))</f>
        <v>0</v>
      </c>
      <c r="AG138" s="459"/>
      <c r="AH138" s="465">
        <f ca="1">IF(TYPE(VLOOKUP(H138,Nasazení!$A$3:$E$130,5,0))&lt;4,VLOOKUP(H138,Nasazení!$A$3:$E$130,5,0),0)</f>
        <v>0</v>
      </c>
      <c r="AI138" s="460" t="str">
        <f ca="1">IF(N($AH138)&gt;0,VLOOKUP($AH138,Body!$A$4:$F$259,5,0),"")</f>
        <v/>
      </c>
      <c r="AJ138" s="461" t="str">
        <f ca="1">IF(N($AH138)&gt;0,VLOOKUP($AH138,Body!$A$4:$F$259,6,0),"")</f>
        <v/>
      </c>
      <c r="AK138" s="460" t="str">
        <f ca="1">IF(N($AH138)&gt;0,VLOOKUP($AH138,Body!$A$4:$F$259,2,0),"")</f>
        <v/>
      </c>
      <c r="AL138" s="462" t="str">
        <f t="shared" ca="1" si="58"/>
        <v/>
      </c>
      <c r="AM138" s="463">
        <f t="shared" ca="1" si="59"/>
        <v>0</v>
      </c>
      <c r="AN138" s="395">
        <f ca="1">IF(OR(TYPE(I138)&gt;1,TYPE(MATCH(I138,I139:I$139,0))&gt;1),0,MATCH(I138,I139:I$139,0))+IF(OR(TYPE(I138)&gt;1,TYPE(MATCH(I138,O$11:O$139,0))&gt;1),0,MATCH(I138,O$11:O$139,0))+IF(OR(TYPE(I138)&gt;1,TYPE(MATCH(I138,U$11:U$139,0))&gt;1),0,MATCH(I138,U$11:U$139,0))+IF(OR(TYPE(I138)&gt;1,TYPE(MATCH(I138,AA$11:AA$139,0))&gt;1),0,MATCH(I138,AA$11:AA$139,0))</f>
        <v>0</v>
      </c>
      <c r="AO138" s="395">
        <f ca="1">IF(OR(TYPE(O138)&gt;1,TYPE(MATCH(O138,I$11:I$139,0))&gt;1),0,MATCH(O138,I$11:I$139,0))+IF(OR(TYPE(O138)&gt;1,TYPE(MATCH(O138,O139:O$139,0))&gt;1),0,MATCH(O138,O139:O$139,0))+IF(OR(TYPE(O138)&gt;1,TYPE(MATCH(O138,U$11:U$139,0))&gt;1),0,MATCH(O138,U$11:U$139,0))+IF(OR(TYPE(O138)&gt;1,TYPE(MATCH(O138,AA$11:AA$139,0))&gt;1),0,MATCH(O138,AA$11:AA$139,0))</f>
        <v>0</v>
      </c>
      <c r="AP138" s="395">
        <f ca="1">IF(OR(TYPE(U138)&gt;1,TYPE(MATCH(U138,I$11:I$139,0))&gt;1),0,MATCH(U138,I$11:I$139,0))+IF(OR(TYPE(U138)&gt;1,TYPE(MATCH(U138,O$11:O$139,0))&gt;1),0,MATCH(U138,O$11:O$139,0))+IF(OR(TYPE(U138)&gt;1,TYPE(MATCH(U138,U139:U$139,0))&gt;1),0,MATCH(U138,U139:U$139,0))+IF(OR(TYPE(U138)&gt;1,TYPE(MATCH(U138,AA$11:AA$139,0))&gt;1),0,MATCH(U138,AA$11:AA$139,0))</f>
        <v>0</v>
      </c>
      <c r="AQ138" s="395">
        <f ca="1">IF(OR(TYPE(AA138)&gt;1,TYPE(MATCH(AA138,I$11:I$139,0))&gt;1),0,MATCH(AA138,I$11:I$139,0))+IF(OR(TYPE(AA138)&gt;1,TYPE(MATCH(AA138,O$11:O$139,0))&gt;1),0,MATCH(AA138,O$11:O$139,0))+IF(OR(TYPE(AA138)&gt;1,TYPE(MATCH(AA138,U$11:U$139,0))&gt;1),0,MATCH(U138,U$11:U$139,0))+IF(OR(TYPE(AA138)&gt;1,TYPE(MATCH(AA138,AA139:AA$139,0))&gt;1),0,MATCH(AA138,AA139:AA$139,0))</f>
        <v>0</v>
      </c>
      <c r="AR138" s="395">
        <f t="shared" ca="1" si="44"/>
        <v>0</v>
      </c>
      <c r="BF138" s="395">
        <f t="shared" si="45"/>
        <v>128</v>
      </c>
    </row>
    <row r="139" spans="1:58" ht="12.9">
      <c r="A139" s="387">
        <f t="shared" ca="1" si="46"/>
        <v>0</v>
      </c>
      <c r="B139" s="387">
        <f t="shared" ca="1" si="47"/>
        <v>0</v>
      </c>
      <c r="C139" s="387">
        <f ca="1">IF(B139=0,0,N139+T139+Z139)</f>
        <v>0</v>
      </c>
      <c r="D139" s="387">
        <f t="shared" ca="1" si="49"/>
        <v>99999</v>
      </c>
      <c r="E139" s="387">
        <f t="shared" ca="1" si="50"/>
        <v>9999</v>
      </c>
      <c r="F139" s="417" t="str">
        <f ca="1">CONCATENATE(IF(AND($P$4=1,H139&gt;2*$O$7),"0","9"),TEXT(B139,"0"),IF(AND($P$4=1,H139&gt;2*$O$7),"000000",TEXT(1000*C139,"000000")),IF(AND($P$4=1,H139&gt;2*$O$7),"000000",TEXT(999999-D139,"000000")),IF(AND($P$4=1,H139&gt;2*$O$7),"000000",TEXT(999999-E139,"000000")),TEXT(999999*RAND(),"000000"))</f>
        <v>00000000000000000000949691</v>
      </c>
      <c r="G139" s="453" t="b">
        <f t="shared" ca="1" si="52"/>
        <v>1</v>
      </c>
      <c r="H139" s="454">
        <f t="shared" ref="H139:H148" si="60">ROW(H139)-10</f>
        <v>129</v>
      </c>
      <c r="I139" s="455" t="str">
        <f t="shared" ca="1" si="54"/>
        <v/>
      </c>
      <c r="J139" s="456" t="str">
        <f ca="1">IF(N(I139)&gt;0,VLOOKUP(I139,Hraci!$A$1:$I$1500,2,0),IF(TYPE(INDIRECT(ADDRESS(ROW() + $A$9-9 + (ROW()-11)*4,2,1,1,"Internet")))&gt;1,INDIRECT(ADDRESS(ROW() + $A$9-9 + (ROW()-11)*4,2,1,1,"Internet"))," "))</f>
        <v xml:space="preserve"> </v>
      </c>
      <c r="K139" s="457" t="str">
        <f ca="1">IF(N(I139)&gt;0,VLOOKUP(I139,Hraci!$A$1:$I$1500,3,0)," ")</f>
        <v xml:space="preserve"> </v>
      </c>
      <c r="L139" s="457" t="str">
        <f ca="1">IF(N(I139)&gt;0,VLOOKUP(I139,Hraci!$A$1:$I$1500,5,0),IF(TYPE(INDIRECT(ADDRESS(ROW() + $A$9-9 + (ROW()-11)*4,3,1,1,"Internet")))&gt;1,INDIRECT(ADDRESS(ROW() + $A$9-9 + (ROW()-11)*4,3,1,1,"Internet"))," "))</f>
        <v xml:space="preserve"> </v>
      </c>
      <c r="M139" s="395">
        <f ca="1">IF(N(I139)=0,9999,VLOOKUP(I139,Hraci!$A$1:$I$1500,8,0))</f>
        <v>9999</v>
      </c>
      <c r="N139" s="458">
        <f ca="1">IF(N(I139)=0,0,VLOOKUP(I139,Hraci!$A$1:$I$1500,9,0))</f>
        <v>0</v>
      </c>
      <c r="O139" s="455" t="str">
        <f t="shared" ca="1" si="55"/>
        <v/>
      </c>
      <c r="P139" s="456" t="str">
        <f ca="1">IF(N(O139)&gt;0,VLOOKUP(O139,Hraci!$A$1:$I$1500,2,0),IF(TYPE(INDIRECT(ADDRESS(ROW() + $A$9-8 + (ROW()-11)*4,2,1,1,"Internet")))&gt;1,INDIRECT(ADDRESS(ROW() + $A$9-8 + (ROW()-11)*4,2,1,1,"Internet"))," "))</f>
        <v xml:space="preserve"> </v>
      </c>
      <c r="Q139" s="457" t="str">
        <f ca="1">IF(N(O139)&gt;0,VLOOKUP(O139,Hraci!$A$1:$I$1500,3,0)," ")</f>
        <v xml:space="preserve"> </v>
      </c>
      <c r="R139" s="457" t="str">
        <f ca="1">IF(N(O139)&gt;0,VLOOKUP(O139,Hraci!$A$1:$I$1500,5,0),IF(TYPE(INDIRECT(ADDRESS(ROW() + $A$9-8 + (ROW()-11)*4,3,1,1,"Internet")))&gt;1,INDIRECT(ADDRESS(ROW() + $A$9-8 + (ROW()-11)*4,3,1,1,"Internet"))," "))</f>
        <v xml:space="preserve"> </v>
      </c>
      <c r="S139" s="395">
        <f ca="1">IF(N(O139)=0,9999,VLOOKUP(O139,Hraci!$A$1:$I$1500,8,0))</f>
        <v>9999</v>
      </c>
      <c r="T139" s="458">
        <f ca="1">IF(N(O139)=0,0,VLOOKUP(O139,Hraci!$A$1:$I$1500,9,0))</f>
        <v>0</v>
      </c>
      <c r="U139" s="455" t="str">
        <f t="shared" ca="1" si="56"/>
        <v/>
      </c>
      <c r="V139" s="456" t="str">
        <f ca="1">IF(N(U139)&gt;0,VLOOKUP(U139,Hraci!$A$1:$I$1500,2,0),IF(TYPE(INDIRECT(ADDRESS(ROW() + $A$9-7 + (ROW()-11)*4,2,1,1,"Internet")))&gt;1,INDIRECT(ADDRESS(ROW() + $A$9-7 + (ROW()-11)*4,2,1,1,"Internet"))," "))</f>
        <v xml:space="preserve"> </v>
      </c>
      <c r="W139" s="457" t="str">
        <f ca="1">IF(N(U139)&gt;0,VLOOKUP(U139,Hraci!$A$1:$I$1500,3,0)," ")</f>
        <v xml:space="preserve"> </v>
      </c>
      <c r="X139" s="457" t="str">
        <f ca="1">IF(N(U139)&gt;0,VLOOKUP(U139,Hraci!$A$1:$I$1500,5,0),IF(TYPE(INDIRECT(ADDRESS(ROW() + $A$9-7 + (ROW()-11)*4,3,1,1,"Internet")))&gt;1,INDIRECT(ADDRESS(ROW() + $A$9-7 + (ROW()-11)*4,3,1,1,"Internet"))," "))</f>
        <v xml:space="preserve"> </v>
      </c>
      <c r="Y139" s="395">
        <f ca="1">IF(N(U139)=0,9999,VLOOKUP(U139,Hraci!$A$1:$I$1500,8,0))</f>
        <v>9999</v>
      </c>
      <c r="Z139" s="458">
        <f ca="1">IF(N(U139)=0,0,VLOOKUP(U139,Hraci!$A$1:$I$1500,9,0))</f>
        <v>0</v>
      </c>
      <c r="AA139" s="455" t="str">
        <f t="shared" ca="1" si="57"/>
        <v/>
      </c>
      <c r="AB139" s="456" t="str">
        <f ca="1">IF(N(AA139)&gt;0,VLOOKUP(AA139,Hraci!$A$1:$I$1500,2,0)," ")</f>
        <v xml:space="preserve"> </v>
      </c>
      <c r="AC139" s="457" t="str">
        <f ca="1">IF(N(AA139)&gt;0,VLOOKUP(AA139,Hraci!$A$1:$I$1500,3,0)," ")</f>
        <v xml:space="preserve"> </v>
      </c>
      <c r="AD139" s="457" t="str">
        <f ca="1">IF(N(AA139)&gt;0,VLOOKUP(AA139,Hraci!$A$1:$I$1500,5,0)," ")</f>
        <v xml:space="preserve"> </v>
      </c>
      <c r="AE139" s="395">
        <f ca="1">IF(N(AA139)=0,9999,VLOOKUP(AA139,Hraci!$A$1:$I$1500,8,0))</f>
        <v>9999</v>
      </c>
      <c r="AF139" s="458">
        <f ca="1">IF(N(AA139)=0,0,VLOOKUP(AA139,Hraci!$A$1:$I$1500,9,0))</f>
        <v>0</v>
      </c>
      <c r="AG139" s="459"/>
      <c r="AH139" s="465">
        <f ca="1">IF(TYPE(VLOOKUP(H139,Nasazení!$A$3:$E$130,5,0))&lt;4,VLOOKUP(H139,Nasazení!$A$3:$E$130,5,0),0)</f>
        <v>0</v>
      </c>
      <c r="AI139" s="460" t="str">
        <f ca="1">IF(N($AH139)&gt;0,VLOOKUP($AH139,Body!$A$4:$F$259,5,0),"")</f>
        <v/>
      </c>
      <c r="AJ139" s="461" t="str">
        <f ca="1">IF(N($AH139)&gt;0,VLOOKUP($AH139,Body!$A$4:$F$259,6,0),"")</f>
        <v/>
      </c>
      <c r="AK139" s="460" t="str">
        <f ca="1">IF(N($AH139)&gt;0,VLOOKUP($AH139,Body!$A$4:$F$259,2,0),"")</f>
        <v/>
      </c>
      <c r="AL139" s="462" t="str">
        <f t="shared" ref="AL139:AL148" ca="1" si="61">IF(N(H139)&gt;$K$7,"",CONCATENATE(IF($U$7="","",H139&amp;" "),L139,IF(L139="",""," - "),J139," ",K139))</f>
        <v/>
      </c>
      <c r="AM139" s="463">
        <f t="shared" ref="AM139:AM148" ca="1" si="62">C139</f>
        <v>0</v>
      </c>
      <c r="AN139" s="395">
        <f ca="1">IF(OR(TYPE(I139)&gt;1,TYPE(MATCH(I139,I$139:I140,0))&gt;1),0,MATCH(I139,I$139:I140,0))+IF(OR(TYPE(I139)&gt;1,TYPE(MATCH(I139,O$11:O$139,0))&gt;1),0,MATCH(I139,O$11:O$139,0))+IF(OR(TYPE(I139)&gt;1,TYPE(MATCH(I139,U$11:U$139,0))&gt;1),0,MATCH(I139,U$11:U$139,0))+IF(OR(TYPE(I139)&gt;1,TYPE(MATCH(I139,AA$11:AA$139,0))&gt;1),0,MATCH(I139,AA$11:AA$139,0))</f>
        <v>0</v>
      </c>
      <c r="AO139" s="395">
        <f ca="1">IF(OR(TYPE(O139)&gt;1,TYPE(MATCH(O139,I$11:I$139,0))&gt;1),0,MATCH(O139,I$11:I$139,0))+IF(OR(TYPE(O139)&gt;1,TYPE(MATCH(O139,O$139:O140,0))&gt;1),0,MATCH(O139,O$139:O140,0))+IF(OR(TYPE(O139)&gt;1,TYPE(MATCH(O139,U$11:U$139,0))&gt;1),0,MATCH(O139,U$11:U$139,0))+IF(OR(TYPE(O139)&gt;1,TYPE(MATCH(O139,AA$11:AA$139,0))&gt;1),0,MATCH(O139,AA$11:AA$139,0))</f>
        <v>0</v>
      </c>
      <c r="AP139" s="395">
        <f ca="1">IF(OR(TYPE(U139)&gt;1,TYPE(MATCH(U139,I$11:I$139,0))&gt;1),0,MATCH(U139,I$11:I$139,0))+IF(OR(TYPE(U139)&gt;1,TYPE(MATCH(U139,O$11:O$139,0))&gt;1),0,MATCH(U139,O$11:O$139,0))+IF(OR(TYPE(U139)&gt;1,TYPE(MATCH(U139,U$139:U140,0))&gt;1),0,MATCH(U139,U$139:U140,0))+IF(OR(TYPE(U139)&gt;1,TYPE(MATCH(U139,AA$11:AA$139,0))&gt;1),0,MATCH(U139,AA$11:AA$139,0))</f>
        <v>0</v>
      </c>
      <c r="AQ139" s="395">
        <f ca="1">IF(OR(TYPE(AA139)&gt;1,TYPE(MATCH(AA139,I$11:I$139,0))&gt;1),0,MATCH(AA139,I$11:I$139,0))+IF(OR(TYPE(AA139)&gt;1,TYPE(MATCH(AA139,O$11:O$139,0))&gt;1),0,MATCH(AA139,O$11:O$139,0))+IF(OR(TYPE(AA139)&gt;1,TYPE(MATCH(AA139,U$11:U$139,0))&gt;1),0,MATCH(U139,U$11:U$139,0))+IF(OR(TYPE(AA139)&gt;1,TYPE(MATCH(AA139,AA$139:AA140,0))&gt;1),0,MATCH(AA139,AA$139:AA140,0))</f>
        <v>0</v>
      </c>
      <c r="AR139" s="395">
        <f t="shared" ca="1" si="44"/>
        <v>0</v>
      </c>
    </row>
    <row r="140" spans="1:58" ht="12.9">
      <c r="A140" s="387">
        <f t="shared" ca="1" si="46"/>
        <v>0</v>
      </c>
      <c r="B140" s="387">
        <f t="shared" ca="1" si="47"/>
        <v>0</v>
      </c>
      <c r="C140" s="387">
        <f ca="1">IF(B140=0,0,N140+T140+Z140)</f>
        <v>0</v>
      </c>
      <c r="D140" s="387">
        <f t="shared" ca="1" si="49"/>
        <v>99999</v>
      </c>
      <c r="E140" s="387">
        <f t="shared" ca="1" si="50"/>
        <v>9999</v>
      </c>
      <c r="F140" s="417" t="str">
        <f t="shared" ref="F140:F148" ca="1" si="63">CONCATENATE(IF(AND($P$4=1,H140&gt;2*$O$7),"0","9"),TEXT(B140,"0"),IF(AND($P$4=1,H140&gt;2*$O$7),"000000",TEXT(1000*C140,"000000")),IF(AND($P$4=1,H140&gt;2*$O$7),"000000",TEXT(999999-D140,"000000")),IF(AND($P$4=1,H140&gt;2*$O$7),"000000",TEXT(999999-E140,"000000")),TEXT(999999*RAND(),"000000"))</f>
        <v>00000000000000000000128321</v>
      </c>
      <c r="G140" s="453" t="b">
        <f t="shared" ca="1" si="52"/>
        <v>1</v>
      </c>
      <c r="H140" s="454">
        <f t="shared" si="60"/>
        <v>130</v>
      </c>
      <c r="I140" s="455" t="str">
        <f t="shared" ca="1" si="54"/>
        <v/>
      </c>
      <c r="J140" s="456" t="str">
        <f ca="1">IF(N(I140)&gt;0,VLOOKUP(I140,Hraci!$A$1:$I$1500,2,0),IF(TYPE(INDIRECT(ADDRESS(ROW() + $A$9-9 + (ROW()-11)*4,2,1,1,"Internet")))&gt;1,INDIRECT(ADDRESS(ROW() + $A$9-9 + (ROW()-11)*4,2,1,1,"Internet"))," "))</f>
        <v xml:space="preserve"> </v>
      </c>
      <c r="K140" s="457" t="str">
        <f ca="1">IF(N(I140)&gt;0,VLOOKUP(I140,Hraci!$A$1:$I$1500,3,0)," ")</f>
        <v xml:space="preserve"> </v>
      </c>
      <c r="L140" s="457" t="str">
        <f ca="1">IF(N(I140)&gt;0,VLOOKUP(I140,Hraci!$A$1:$I$1500,5,0),IF(TYPE(INDIRECT(ADDRESS(ROW() + $A$9-9 + (ROW()-11)*4,3,1,1,"Internet")))&gt;1,INDIRECT(ADDRESS(ROW() + $A$9-9 + (ROW()-11)*4,3,1,1,"Internet"))," "))</f>
        <v xml:space="preserve"> </v>
      </c>
      <c r="M140" s="395">
        <f ca="1">IF(N(I140)=0,9999,VLOOKUP(I140,Hraci!$A$1:$I$1500,8,0))</f>
        <v>9999</v>
      </c>
      <c r="N140" s="458">
        <f ca="1">IF(N(I140)=0,0,VLOOKUP(I140,Hraci!$A$1:$I$1500,9,0))</f>
        <v>0</v>
      </c>
      <c r="O140" s="455" t="str">
        <f t="shared" ca="1" si="55"/>
        <v/>
      </c>
      <c r="P140" s="456" t="str">
        <f ca="1">IF(N(O140)&gt;0,VLOOKUP(O140,Hraci!$A$1:$I$1500,2,0),IF(TYPE(INDIRECT(ADDRESS(ROW() + $A$9-8 + (ROW()-11)*4,2,1,1,"Internet")))&gt;1,INDIRECT(ADDRESS(ROW() + $A$9-8 + (ROW()-11)*4,2,1,1,"Internet"))," "))</f>
        <v xml:space="preserve"> </v>
      </c>
      <c r="Q140" s="457" t="str">
        <f ca="1">IF(N(O140)&gt;0,VLOOKUP(O140,Hraci!$A$1:$I$1500,3,0)," ")</f>
        <v xml:space="preserve"> </v>
      </c>
      <c r="R140" s="457" t="str">
        <f ca="1">IF(N(O140)&gt;0,VLOOKUP(O140,Hraci!$A$1:$I$1500,5,0),IF(TYPE(INDIRECT(ADDRESS(ROW() + $A$9-8 + (ROW()-11)*4,3,1,1,"Internet")))&gt;1,INDIRECT(ADDRESS(ROW() + $A$9-8 + (ROW()-11)*4,3,1,1,"Internet"))," "))</f>
        <v xml:space="preserve"> </v>
      </c>
      <c r="S140" s="395">
        <f ca="1">IF(N(O140)=0,9999,VLOOKUP(O140,Hraci!$A$1:$I$1500,8,0))</f>
        <v>9999</v>
      </c>
      <c r="T140" s="458">
        <f ca="1">IF(N(O140)=0,0,VLOOKUP(O140,Hraci!$A$1:$I$1500,9,0))</f>
        <v>0</v>
      </c>
      <c r="U140" s="455" t="str">
        <f t="shared" ca="1" si="56"/>
        <v/>
      </c>
      <c r="V140" s="456" t="str">
        <f ca="1">IF(N(U140)&gt;0,VLOOKUP(U140,Hraci!$A$1:$I$1500,2,0),IF(TYPE(INDIRECT(ADDRESS(ROW() + $A$9-7 + (ROW()-11)*4,2,1,1,"Internet")))&gt;1,INDIRECT(ADDRESS(ROW() + $A$9-7 + (ROW()-11)*4,2,1,1,"Internet"))," "))</f>
        <v xml:space="preserve"> </v>
      </c>
      <c r="W140" s="457" t="str">
        <f ca="1">IF(N(U140)&gt;0,VLOOKUP(U140,Hraci!$A$1:$I$1500,3,0)," ")</f>
        <v xml:space="preserve"> </v>
      </c>
      <c r="X140" s="457" t="str">
        <f ca="1">IF(N(U140)&gt;0,VLOOKUP(U140,Hraci!$A$1:$I$1500,5,0),IF(TYPE(INDIRECT(ADDRESS(ROW() + $A$9-7 + (ROW()-11)*4,3,1,1,"Internet")))&gt;1,INDIRECT(ADDRESS(ROW() + $A$9-7 + (ROW()-11)*4,3,1,1,"Internet"))," "))</f>
        <v xml:space="preserve"> </v>
      </c>
      <c r="Y140" s="395">
        <f ca="1">IF(N(U140)=0,9999,VLOOKUP(U140,Hraci!$A$1:$I$1500,8,0))</f>
        <v>9999</v>
      </c>
      <c r="Z140" s="458">
        <f ca="1">IF(N(U140)=0,0,VLOOKUP(U140,Hraci!$A$1:$I$1500,9,0))</f>
        <v>0</v>
      </c>
      <c r="AA140" s="455" t="str">
        <f t="shared" ca="1" si="57"/>
        <v/>
      </c>
      <c r="AB140" s="456" t="str">
        <f ca="1">IF(N(AA140)&gt;0,VLOOKUP(AA140,Hraci!$A$1:$I$1500,2,0)," ")</f>
        <v xml:space="preserve"> </v>
      </c>
      <c r="AC140" s="457" t="str">
        <f ca="1">IF(N(AA140)&gt;0,VLOOKUP(AA140,Hraci!$A$1:$I$1500,3,0)," ")</f>
        <v xml:space="preserve"> </v>
      </c>
      <c r="AD140" s="457" t="str">
        <f ca="1">IF(N(AA140)&gt;0,VLOOKUP(AA140,Hraci!$A$1:$I$1500,5,0)," ")</f>
        <v xml:space="preserve"> </v>
      </c>
      <c r="AE140" s="395">
        <f ca="1">IF(N(AA140)=0,9999,VLOOKUP(AA140,Hraci!$A$1:$I$1500,8,0))</f>
        <v>9999</v>
      </c>
      <c r="AF140" s="458">
        <f ca="1">IF(N(AA140)=0,0,VLOOKUP(AA140,Hraci!$A$1:$I$1500,9,0))</f>
        <v>0</v>
      </c>
      <c r="AG140" s="459"/>
      <c r="AH140" s="465">
        <f ca="1">IF(TYPE(VLOOKUP(H140,Nasazení!$A$3:$E$130,5,0))&lt;4,VLOOKUP(H140,Nasazení!$A$3:$E$130,5,0),0)</f>
        <v>0</v>
      </c>
      <c r="AI140" s="460" t="str">
        <f ca="1">IF(N($AH140)&gt;0,VLOOKUP($AH140,Body!$A$4:$F$259,5,0),"")</f>
        <v/>
      </c>
      <c r="AJ140" s="461" t="str">
        <f ca="1">IF(N($AH140)&gt;0,VLOOKUP($AH140,Body!$A$4:$F$259,6,0),"")</f>
        <v/>
      </c>
      <c r="AK140" s="460" t="str">
        <f ca="1">IF(N($AH140)&gt;0,VLOOKUP($AH140,Body!$A$4:$F$259,2,0),"")</f>
        <v/>
      </c>
      <c r="AL140" s="462" t="str">
        <f t="shared" ca="1" si="61"/>
        <v/>
      </c>
      <c r="AM140" s="463">
        <f t="shared" ca="1" si="62"/>
        <v>0</v>
      </c>
      <c r="AN140" s="395">
        <f ca="1">IF(OR(TYPE(I140)&gt;1,TYPE(MATCH(I140,I$139:I141,0))&gt;1),0,MATCH(I140,I$139:I141,0))+IF(OR(TYPE(I140)&gt;1,TYPE(MATCH(I140,O$11:O$139,0))&gt;1),0,MATCH(I140,O$11:O$139,0))+IF(OR(TYPE(I140)&gt;1,TYPE(MATCH(I140,U$11:U$139,0))&gt;1),0,MATCH(I140,U$11:U$139,0))+IF(OR(TYPE(I140)&gt;1,TYPE(MATCH(I140,AA$11:AA$139,0))&gt;1),0,MATCH(I140,AA$11:AA$139,0))</f>
        <v>0</v>
      </c>
      <c r="AO140" s="395">
        <f ca="1">IF(OR(TYPE(O140)&gt;1,TYPE(MATCH(O140,I$11:I$139,0))&gt;1),0,MATCH(O140,I$11:I$139,0))+IF(OR(TYPE(O140)&gt;1,TYPE(MATCH(O140,O$139:O141,0))&gt;1),0,MATCH(O140,O$139:O141,0))+IF(OR(TYPE(O140)&gt;1,TYPE(MATCH(O140,U$11:U$139,0))&gt;1),0,MATCH(O140,U$11:U$139,0))+IF(OR(TYPE(O140)&gt;1,TYPE(MATCH(O140,AA$11:AA$139,0))&gt;1),0,MATCH(O140,AA$11:AA$139,0))</f>
        <v>0</v>
      </c>
      <c r="AP140" s="395">
        <f ca="1">IF(OR(TYPE(U140)&gt;1,TYPE(MATCH(U140,I$11:I$139,0))&gt;1),0,MATCH(U140,I$11:I$139,0))+IF(OR(TYPE(U140)&gt;1,TYPE(MATCH(U140,O$11:O$139,0))&gt;1),0,MATCH(U140,O$11:O$139,0))+IF(OR(TYPE(U140)&gt;1,TYPE(MATCH(U140,U$139:U141,0))&gt;1),0,MATCH(U140,U$139:U141,0))+IF(OR(TYPE(U140)&gt;1,TYPE(MATCH(U140,AA$11:AA$139,0))&gt;1),0,MATCH(U140,AA$11:AA$139,0))</f>
        <v>0</v>
      </c>
      <c r="AQ140" s="395">
        <f ca="1">IF(OR(TYPE(AA140)&gt;1,TYPE(MATCH(AA140,I$11:I$139,0))&gt;1),0,MATCH(AA140,I$11:I$139,0))+IF(OR(TYPE(AA140)&gt;1,TYPE(MATCH(AA140,O$11:O$139,0))&gt;1),0,MATCH(AA140,O$11:O$139,0))+IF(OR(TYPE(AA140)&gt;1,TYPE(MATCH(AA140,U$11:U$139,0))&gt;1),0,MATCH(U140,U$11:U$139,0))+IF(OR(TYPE(AA140)&gt;1,TYPE(MATCH(AA140,AA$139:AA141,0))&gt;1),0,MATCH(AA140,AA$139:AA141,0))</f>
        <v>0</v>
      </c>
      <c r="AR140" s="395">
        <f t="shared" ref="AR140:AR148" ca="1" si="64">SUM(AN140:AQ140)</f>
        <v>0</v>
      </c>
    </row>
    <row r="141" spans="1:58" ht="12.9">
      <c r="A141" s="387">
        <f t="shared" ref="A141:A148" ca="1" si="65">IF(OR(LEFT(J141,1)=" ",ISBLANK(J141)),0,1)+IF(OR(LEFT(P141,1)=" ",ISBLANK(P141)),0,1)+IF(OR(LEFT(V141,1)=" ",ISBLANK(V141)),0,1)</f>
        <v>0</v>
      </c>
      <c r="B141" s="387">
        <f t="shared" ref="B141:B148" ca="1" si="66">IF(AND(TYPE(G141&lt;15),G141=FALSE),1,0)</f>
        <v>0</v>
      </c>
      <c r="C141" s="387">
        <f t="shared" ref="C141:C148" ca="1" si="67">IF(B141=0,0,N141+T141+Z141)</f>
        <v>0</v>
      </c>
      <c r="D141" s="387">
        <f t="shared" ref="D141:D148" ca="1" si="68">IF(B141=0,99999,M141+S141+Y141)</f>
        <v>99999</v>
      </c>
      <c r="E141" s="387">
        <f t="shared" ref="E141:E148" ca="1" si="69">MIN(M141,S141,Y141)</f>
        <v>9999</v>
      </c>
      <c r="F141" s="417" t="str">
        <f t="shared" ca="1" si="63"/>
        <v>00000000000000000000319400</v>
      </c>
      <c r="G141" s="453" t="b">
        <f t="shared" ref="G141:G148" ca="1" si="70">IF(OR($K$6&gt;A141,AR141&gt;0),TRUE,FALSE)</f>
        <v>1</v>
      </c>
      <c r="H141" s="454">
        <f t="shared" si="60"/>
        <v>131</v>
      </c>
      <c r="I141" s="455" t="str">
        <f t="shared" ref="I141:I148" ca="1" si="71">IF(N(INDIRECT(ADDRESS(ROW() + $A$9-9 + (ROW()-11)*4,1,1,1,"Internet")))&gt;0,INDIRECT(ADDRESS(ROW() + $A$9-9 + (ROW()-11)*4,1,1,1,"Internet")),"")</f>
        <v/>
      </c>
      <c r="J141" s="456" t="str">
        <f ca="1">IF(N(I141)&gt;0,VLOOKUP(I141,Hraci!$A$1:$I$1500,2,0),IF(TYPE(INDIRECT(ADDRESS(ROW() + $A$9-9 + (ROW()-11)*4,2,1,1,"Internet")))&gt;1,INDIRECT(ADDRESS(ROW() + $A$9-9 + (ROW()-11)*4,2,1,1,"Internet"))," "))</f>
        <v xml:space="preserve"> </v>
      </c>
      <c r="K141" s="457" t="str">
        <f ca="1">IF(N(I141)&gt;0,VLOOKUP(I141,Hraci!$A$1:$I$1500,3,0)," ")</f>
        <v xml:space="preserve"> </v>
      </c>
      <c r="L141" s="457" t="str">
        <f ca="1">IF(N(I141)&gt;0,VLOOKUP(I141,Hraci!$A$1:$I$1500,5,0),IF(TYPE(INDIRECT(ADDRESS(ROW() + $A$9-9 + (ROW()-11)*4,3,1,1,"Internet")))&gt;1,INDIRECT(ADDRESS(ROW() + $A$9-9 + (ROW()-11)*4,3,1,1,"Internet"))," "))</f>
        <v xml:space="preserve"> </v>
      </c>
      <c r="M141" s="395">
        <f ca="1">IF(N(I141)=0,9999,VLOOKUP(I141,Hraci!$A$1:$I$1500,8,0))</f>
        <v>9999</v>
      </c>
      <c r="N141" s="458">
        <f ca="1">IF(N(I141)=0,0,VLOOKUP(I141,Hraci!$A$1:$I$1500,9,0))</f>
        <v>0</v>
      </c>
      <c r="O141" s="455" t="str">
        <f t="shared" ref="O141:O148" ca="1" si="72">IF(N(INDIRECT(ADDRESS(ROW() + $A$9-8 + (ROW()-11)*4,1,1,1,"Internet")))&gt;0,INDIRECT(ADDRESS(ROW() + $A$9-8 + (ROW()-11)*4,1,1,1,"Internet")),"")</f>
        <v/>
      </c>
      <c r="P141" s="456" t="str">
        <f ca="1">IF(N(O141)&gt;0,VLOOKUP(O141,Hraci!$A$1:$I$1500,2,0),IF(TYPE(INDIRECT(ADDRESS(ROW() + $A$9-8 + (ROW()-11)*4,2,1,1,"Internet")))&gt;1,INDIRECT(ADDRESS(ROW() + $A$9-8 + (ROW()-11)*4,2,1,1,"Internet"))," "))</f>
        <v xml:space="preserve"> </v>
      </c>
      <c r="Q141" s="457" t="str">
        <f ca="1">IF(N(O141)&gt;0,VLOOKUP(O141,Hraci!$A$1:$I$1500,3,0)," ")</f>
        <v xml:space="preserve"> </v>
      </c>
      <c r="R141" s="457" t="str">
        <f ca="1">IF(N(O141)&gt;0,VLOOKUP(O141,Hraci!$A$1:$I$1500,5,0),IF(TYPE(INDIRECT(ADDRESS(ROW() + $A$9-8 + (ROW()-11)*4,3,1,1,"Internet")))&gt;1,INDIRECT(ADDRESS(ROW() + $A$9-8 + (ROW()-11)*4,3,1,1,"Internet"))," "))</f>
        <v xml:space="preserve"> </v>
      </c>
      <c r="S141" s="395">
        <f ca="1">IF(N(O141)=0,9999,VLOOKUP(O141,Hraci!$A$1:$I$1500,8,0))</f>
        <v>9999</v>
      </c>
      <c r="T141" s="458">
        <f ca="1">IF(N(O141)=0,0,VLOOKUP(O141,Hraci!$A$1:$I$1500,9,0))</f>
        <v>0</v>
      </c>
      <c r="U141" s="455" t="str">
        <f t="shared" ref="U141:U148" ca="1" si="73">IF(N(INDIRECT(ADDRESS(ROW() + $A$9-7 + (ROW()-11)*4,1,1,1,"Internet")))&gt;0,INDIRECT(ADDRESS(ROW() + $A$9-7 + (ROW()-11)*4,1,1,1,"Internet")),"")</f>
        <v/>
      </c>
      <c r="V141" s="456" t="str">
        <f ca="1">IF(N(U141)&gt;0,VLOOKUP(U141,Hraci!$A$1:$I$1500,2,0),IF(TYPE(INDIRECT(ADDRESS(ROW() + $A$9-7 + (ROW()-11)*4,2,1,1,"Internet")))&gt;1,INDIRECT(ADDRESS(ROW() + $A$9-7 + (ROW()-11)*4,2,1,1,"Internet"))," "))</f>
        <v xml:space="preserve"> </v>
      </c>
      <c r="W141" s="457" t="str">
        <f ca="1">IF(N(U141)&gt;0,VLOOKUP(U141,Hraci!$A$1:$I$1500,3,0)," ")</f>
        <v xml:space="preserve"> </v>
      </c>
      <c r="X141" s="457" t="str">
        <f ca="1">IF(N(U141)&gt;0,VLOOKUP(U141,Hraci!$A$1:$I$1500,5,0),IF(TYPE(INDIRECT(ADDRESS(ROW() + $A$9-7 + (ROW()-11)*4,3,1,1,"Internet")))&gt;1,INDIRECT(ADDRESS(ROW() + $A$9-7 + (ROW()-11)*4,3,1,1,"Internet"))," "))</f>
        <v xml:space="preserve"> </v>
      </c>
      <c r="Y141" s="395">
        <f ca="1">IF(N(U141)=0,9999,VLOOKUP(U141,Hraci!$A$1:$I$1500,8,0))</f>
        <v>9999</v>
      </c>
      <c r="Z141" s="458">
        <f ca="1">IF(N(U141)=0,0,VLOOKUP(U141,Hraci!$A$1:$I$1500,9,0))</f>
        <v>0</v>
      </c>
      <c r="AA141" s="455" t="str">
        <f t="shared" ref="AA141:AA148" ca="1" si="74">IF(N(INDIRECT(ADDRESS(ROW() + $A$9-6 + (ROW()-11)*4,1,1,1,"Internet")))&gt;0,INDIRECT(ADDRESS(ROW() + $A$9-6 + (ROW()-11)*4,1,1,1,"Internet")),"")</f>
        <v/>
      </c>
      <c r="AB141" s="456" t="str">
        <f ca="1">IF(N(AA141)&gt;0,VLOOKUP(AA141,Hraci!$A$1:$I$1500,2,0)," ")</f>
        <v xml:space="preserve"> </v>
      </c>
      <c r="AC141" s="457" t="str">
        <f ca="1">IF(N(AA141)&gt;0,VLOOKUP(AA141,Hraci!$A$1:$I$1500,3,0)," ")</f>
        <v xml:space="preserve"> </v>
      </c>
      <c r="AD141" s="457" t="str">
        <f ca="1">IF(N(AA141)&gt;0,VLOOKUP(AA141,Hraci!$A$1:$I$1500,5,0)," ")</f>
        <v xml:space="preserve"> </v>
      </c>
      <c r="AE141" s="395">
        <f ca="1">IF(N(AA141)=0,9999,VLOOKUP(AA141,Hraci!$A$1:$I$1500,8,0))</f>
        <v>9999</v>
      </c>
      <c r="AF141" s="458">
        <f ca="1">IF(N(AA141)=0,0,VLOOKUP(AA141,Hraci!$A$1:$I$1500,9,0))</f>
        <v>0</v>
      </c>
      <c r="AG141" s="459"/>
      <c r="AH141" s="465">
        <f ca="1">IF(TYPE(VLOOKUP(H141,Nasazení!$A$3:$E$130,5,0))&lt;4,VLOOKUP(H141,Nasazení!$A$3:$E$130,5,0),0)</f>
        <v>0</v>
      </c>
      <c r="AI141" s="460" t="str">
        <f ca="1">IF(N($AH141)&gt;0,VLOOKUP($AH141,Body!$A$4:$F$259,5,0),"")</f>
        <v/>
      </c>
      <c r="AJ141" s="461" t="str">
        <f ca="1">IF(N($AH141)&gt;0,VLOOKUP($AH141,Body!$A$4:$F$259,6,0),"")</f>
        <v/>
      </c>
      <c r="AK141" s="460" t="str">
        <f ca="1">IF(N($AH141)&gt;0,VLOOKUP($AH141,Body!$A$4:$F$259,2,0),"")</f>
        <v/>
      </c>
      <c r="AL141" s="462" t="str">
        <f t="shared" ca="1" si="61"/>
        <v/>
      </c>
      <c r="AM141" s="463">
        <f t="shared" ca="1" si="62"/>
        <v>0</v>
      </c>
      <c r="AN141" s="395">
        <f ca="1">IF(OR(TYPE(I141)&gt;1,TYPE(MATCH(I141,I$139:I142,0))&gt;1),0,MATCH(I141,I$139:I142,0))+IF(OR(TYPE(I141)&gt;1,TYPE(MATCH(I141,O$11:O$139,0))&gt;1),0,MATCH(I141,O$11:O$139,0))+IF(OR(TYPE(I141)&gt;1,TYPE(MATCH(I141,U$11:U$139,0))&gt;1),0,MATCH(I141,U$11:U$139,0))+IF(OR(TYPE(I141)&gt;1,TYPE(MATCH(I141,AA$11:AA$139,0))&gt;1),0,MATCH(I141,AA$11:AA$139,0))</f>
        <v>0</v>
      </c>
      <c r="AO141" s="395">
        <f ca="1">IF(OR(TYPE(O141)&gt;1,TYPE(MATCH(O141,I$11:I$139,0))&gt;1),0,MATCH(O141,I$11:I$139,0))+IF(OR(TYPE(O141)&gt;1,TYPE(MATCH(O141,O$139:O142,0))&gt;1),0,MATCH(O141,O$139:O142,0))+IF(OR(TYPE(O141)&gt;1,TYPE(MATCH(O141,U$11:U$139,0))&gt;1),0,MATCH(O141,U$11:U$139,0))+IF(OR(TYPE(O141)&gt;1,TYPE(MATCH(O141,AA$11:AA$139,0))&gt;1),0,MATCH(O141,AA$11:AA$139,0))</f>
        <v>0</v>
      </c>
      <c r="AP141" s="395">
        <f ca="1">IF(OR(TYPE(U141)&gt;1,TYPE(MATCH(U141,I$11:I$139,0))&gt;1),0,MATCH(U141,I$11:I$139,0))+IF(OR(TYPE(U141)&gt;1,TYPE(MATCH(U141,O$11:O$139,0))&gt;1),0,MATCH(U141,O$11:O$139,0))+IF(OR(TYPE(U141)&gt;1,TYPE(MATCH(U141,U$139:U142,0))&gt;1),0,MATCH(U141,U$139:U142,0))+IF(OR(TYPE(U141)&gt;1,TYPE(MATCH(U141,AA$11:AA$139,0))&gt;1),0,MATCH(U141,AA$11:AA$139,0))</f>
        <v>0</v>
      </c>
      <c r="AQ141" s="395">
        <f ca="1">IF(OR(TYPE(AA141)&gt;1,TYPE(MATCH(AA141,I$11:I$139,0))&gt;1),0,MATCH(AA141,I$11:I$139,0))+IF(OR(TYPE(AA141)&gt;1,TYPE(MATCH(AA141,O$11:O$139,0))&gt;1),0,MATCH(AA141,O$11:O$139,0))+IF(OR(TYPE(AA141)&gt;1,TYPE(MATCH(AA141,U$11:U$139,0))&gt;1),0,MATCH(U141,U$11:U$139,0))+IF(OR(TYPE(AA141)&gt;1,TYPE(MATCH(AA141,AA$139:AA142,0))&gt;1),0,MATCH(AA141,AA$139:AA142,0))</f>
        <v>0</v>
      </c>
      <c r="AR141" s="395">
        <f t="shared" ca="1" si="64"/>
        <v>0</v>
      </c>
    </row>
    <row r="142" spans="1:58" ht="12.9">
      <c r="A142" s="387">
        <f t="shared" ca="1" si="65"/>
        <v>0</v>
      </c>
      <c r="B142" s="387">
        <f t="shared" ca="1" si="66"/>
        <v>0</v>
      </c>
      <c r="C142" s="387">
        <f t="shared" ca="1" si="67"/>
        <v>0</v>
      </c>
      <c r="D142" s="387">
        <f t="shared" ca="1" si="68"/>
        <v>99999</v>
      </c>
      <c r="E142" s="387">
        <f t="shared" ca="1" si="69"/>
        <v>9999</v>
      </c>
      <c r="F142" s="417" t="str">
        <f t="shared" ca="1" si="63"/>
        <v>00000000000000000000719498</v>
      </c>
      <c r="G142" s="453" t="b">
        <f t="shared" ca="1" si="70"/>
        <v>1</v>
      </c>
      <c r="H142" s="454">
        <f t="shared" si="60"/>
        <v>132</v>
      </c>
      <c r="I142" s="455" t="str">
        <f t="shared" ca="1" si="71"/>
        <v/>
      </c>
      <c r="J142" s="456" t="str">
        <f ca="1">IF(N(I142)&gt;0,VLOOKUP(I142,Hraci!$A$1:$I$1500,2,0),IF(TYPE(INDIRECT(ADDRESS(ROW() + $A$9-9 + (ROW()-11)*4,2,1,1,"Internet")))&gt;1,INDIRECT(ADDRESS(ROW() + $A$9-9 + (ROW()-11)*4,2,1,1,"Internet"))," "))</f>
        <v xml:space="preserve"> </v>
      </c>
      <c r="K142" s="457" t="str">
        <f ca="1">IF(N(I142)&gt;0,VLOOKUP(I142,Hraci!$A$1:$I$1500,3,0)," ")</f>
        <v xml:space="preserve"> </v>
      </c>
      <c r="L142" s="457" t="str">
        <f ca="1">IF(N(I142)&gt;0,VLOOKUP(I142,Hraci!$A$1:$I$1500,5,0),IF(TYPE(INDIRECT(ADDRESS(ROW() + $A$9-9 + (ROW()-11)*4,3,1,1,"Internet")))&gt;1,INDIRECT(ADDRESS(ROW() + $A$9-9 + (ROW()-11)*4,3,1,1,"Internet"))," "))</f>
        <v xml:space="preserve"> </v>
      </c>
      <c r="M142" s="395">
        <f ca="1">IF(N(I142)=0,9999,VLOOKUP(I142,Hraci!$A$1:$I$1500,8,0))</f>
        <v>9999</v>
      </c>
      <c r="N142" s="458">
        <f ca="1">IF(N(I142)=0,0,VLOOKUP(I142,Hraci!$A$1:$I$1500,9,0))</f>
        <v>0</v>
      </c>
      <c r="O142" s="455" t="str">
        <f t="shared" ca="1" si="72"/>
        <v/>
      </c>
      <c r="P142" s="456" t="str">
        <f ca="1">IF(N(O142)&gt;0,VLOOKUP(O142,Hraci!$A$1:$I$1500,2,0),IF(TYPE(INDIRECT(ADDRESS(ROW() + $A$9-8 + (ROW()-11)*4,2,1,1,"Internet")))&gt;1,INDIRECT(ADDRESS(ROW() + $A$9-8 + (ROW()-11)*4,2,1,1,"Internet"))," "))</f>
        <v xml:space="preserve"> </v>
      </c>
      <c r="Q142" s="457" t="str">
        <f ca="1">IF(N(O142)&gt;0,VLOOKUP(O142,Hraci!$A$1:$I$1500,3,0)," ")</f>
        <v xml:space="preserve"> </v>
      </c>
      <c r="R142" s="457" t="str">
        <f ca="1">IF(N(O142)&gt;0,VLOOKUP(O142,Hraci!$A$1:$I$1500,5,0),IF(TYPE(INDIRECT(ADDRESS(ROW() + $A$9-8 + (ROW()-11)*4,3,1,1,"Internet")))&gt;1,INDIRECT(ADDRESS(ROW() + $A$9-8 + (ROW()-11)*4,3,1,1,"Internet"))," "))</f>
        <v xml:space="preserve"> </v>
      </c>
      <c r="S142" s="395">
        <f ca="1">IF(N(O142)=0,9999,VLOOKUP(O142,Hraci!$A$1:$I$1500,8,0))</f>
        <v>9999</v>
      </c>
      <c r="T142" s="458">
        <f ca="1">IF(N(O142)=0,0,VLOOKUP(O142,Hraci!$A$1:$I$1500,9,0))</f>
        <v>0</v>
      </c>
      <c r="U142" s="455" t="str">
        <f t="shared" ca="1" si="73"/>
        <v/>
      </c>
      <c r="V142" s="456" t="str">
        <f ca="1">IF(N(U142)&gt;0,VLOOKUP(U142,Hraci!$A$1:$I$1500,2,0),IF(TYPE(INDIRECT(ADDRESS(ROW() + $A$9-7 + (ROW()-11)*4,2,1,1,"Internet")))&gt;1,INDIRECT(ADDRESS(ROW() + $A$9-7 + (ROW()-11)*4,2,1,1,"Internet"))," "))</f>
        <v xml:space="preserve"> </v>
      </c>
      <c r="W142" s="457" t="str">
        <f ca="1">IF(N(U142)&gt;0,VLOOKUP(U142,Hraci!$A$1:$I$1500,3,0)," ")</f>
        <v xml:space="preserve"> </v>
      </c>
      <c r="X142" s="457" t="str">
        <f ca="1">IF(N(U142)&gt;0,VLOOKUP(U142,Hraci!$A$1:$I$1500,5,0),IF(TYPE(INDIRECT(ADDRESS(ROW() + $A$9-7 + (ROW()-11)*4,3,1,1,"Internet")))&gt;1,INDIRECT(ADDRESS(ROW() + $A$9-7 + (ROW()-11)*4,3,1,1,"Internet"))," "))</f>
        <v xml:space="preserve"> </v>
      </c>
      <c r="Y142" s="395">
        <f ca="1">IF(N(U142)=0,9999,VLOOKUP(U142,Hraci!$A$1:$I$1500,8,0))</f>
        <v>9999</v>
      </c>
      <c r="Z142" s="458">
        <f ca="1">IF(N(U142)=0,0,VLOOKUP(U142,Hraci!$A$1:$I$1500,9,0))</f>
        <v>0</v>
      </c>
      <c r="AA142" s="455" t="str">
        <f t="shared" ca="1" si="74"/>
        <v/>
      </c>
      <c r="AB142" s="456" t="str">
        <f ca="1">IF(N(AA142)&gt;0,VLOOKUP(AA142,Hraci!$A$1:$I$1500,2,0)," ")</f>
        <v xml:space="preserve"> </v>
      </c>
      <c r="AC142" s="457" t="str">
        <f ca="1">IF(N(AA142)&gt;0,VLOOKUP(AA142,Hraci!$A$1:$I$1500,3,0)," ")</f>
        <v xml:space="preserve"> </v>
      </c>
      <c r="AD142" s="457" t="str">
        <f ca="1">IF(N(AA142)&gt;0,VLOOKUP(AA142,Hraci!$A$1:$I$1500,5,0)," ")</f>
        <v xml:space="preserve"> </v>
      </c>
      <c r="AE142" s="395">
        <f ca="1">IF(N(AA142)=0,9999,VLOOKUP(AA142,Hraci!$A$1:$I$1500,8,0))</f>
        <v>9999</v>
      </c>
      <c r="AF142" s="458">
        <f ca="1">IF(N(AA142)=0,0,VLOOKUP(AA142,Hraci!$A$1:$I$1500,9,0))</f>
        <v>0</v>
      </c>
      <c r="AG142" s="459"/>
      <c r="AH142" s="465">
        <f ca="1">IF(TYPE(VLOOKUP(H142,Nasazení!$A$3:$E$130,5,0))&lt;4,VLOOKUP(H142,Nasazení!$A$3:$E$130,5,0),0)</f>
        <v>0</v>
      </c>
      <c r="AI142" s="460" t="str">
        <f ca="1">IF(N($AH142)&gt;0,VLOOKUP($AH142,Body!$A$4:$F$259,5,0),"")</f>
        <v/>
      </c>
      <c r="AJ142" s="461" t="str">
        <f ca="1">IF(N($AH142)&gt;0,VLOOKUP($AH142,Body!$A$4:$F$259,6,0),"")</f>
        <v/>
      </c>
      <c r="AK142" s="460" t="str">
        <f ca="1">IF(N($AH142)&gt;0,VLOOKUP($AH142,Body!$A$4:$F$259,2,0),"")</f>
        <v/>
      </c>
      <c r="AL142" s="462" t="str">
        <f t="shared" ca="1" si="61"/>
        <v/>
      </c>
      <c r="AM142" s="463">
        <f t="shared" ca="1" si="62"/>
        <v>0</v>
      </c>
      <c r="AN142" s="395">
        <f ca="1">IF(OR(TYPE(I142)&gt;1,TYPE(MATCH(I142,I$139:I143,0))&gt;1),0,MATCH(I142,I$139:I143,0))+IF(OR(TYPE(I142)&gt;1,TYPE(MATCH(I142,O$11:O$139,0))&gt;1),0,MATCH(I142,O$11:O$139,0))+IF(OR(TYPE(I142)&gt;1,TYPE(MATCH(I142,U$11:U$139,0))&gt;1),0,MATCH(I142,U$11:U$139,0))+IF(OR(TYPE(I142)&gt;1,TYPE(MATCH(I142,AA$11:AA$139,0))&gt;1),0,MATCH(I142,AA$11:AA$139,0))</f>
        <v>0</v>
      </c>
      <c r="AO142" s="395">
        <f ca="1">IF(OR(TYPE(O142)&gt;1,TYPE(MATCH(O142,I$11:I$139,0))&gt;1),0,MATCH(O142,I$11:I$139,0))+IF(OR(TYPE(O142)&gt;1,TYPE(MATCH(O142,O$139:O143,0))&gt;1),0,MATCH(O142,O$139:O143,0))+IF(OR(TYPE(O142)&gt;1,TYPE(MATCH(O142,U$11:U$139,0))&gt;1),0,MATCH(O142,U$11:U$139,0))+IF(OR(TYPE(O142)&gt;1,TYPE(MATCH(O142,AA$11:AA$139,0))&gt;1),0,MATCH(O142,AA$11:AA$139,0))</f>
        <v>0</v>
      </c>
      <c r="AP142" s="395">
        <f ca="1">IF(OR(TYPE(U142)&gt;1,TYPE(MATCH(U142,I$11:I$139,0))&gt;1),0,MATCH(U142,I$11:I$139,0))+IF(OR(TYPE(U142)&gt;1,TYPE(MATCH(U142,O$11:O$139,0))&gt;1),0,MATCH(U142,O$11:O$139,0))+IF(OR(TYPE(U142)&gt;1,TYPE(MATCH(U142,U$139:U143,0))&gt;1),0,MATCH(U142,U$139:U143,0))+IF(OR(TYPE(U142)&gt;1,TYPE(MATCH(U142,AA$11:AA$139,0))&gt;1),0,MATCH(U142,AA$11:AA$139,0))</f>
        <v>0</v>
      </c>
      <c r="AQ142" s="395">
        <f ca="1">IF(OR(TYPE(AA142)&gt;1,TYPE(MATCH(AA142,I$11:I$139,0))&gt;1),0,MATCH(AA142,I$11:I$139,0))+IF(OR(TYPE(AA142)&gt;1,TYPE(MATCH(AA142,O$11:O$139,0))&gt;1),0,MATCH(AA142,O$11:O$139,0))+IF(OR(TYPE(AA142)&gt;1,TYPE(MATCH(AA142,U$11:U$139,0))&gt;1),0,MATCH(U142,U$11:U$139,0))+IF(OR(TYPE(AA142)&gt;1,TYPE(MATCH(AA142,AA$139:AA143,0))&gt;1),0,MATCH(AA142,AA$139:AA143,0))</f>
        <v>0</v>
      </c>
      <c r="AR142" s="395">
        <f t="shared" ca="1" si="64"/>
        <v>0</v>
      </c>
    </row>
    <row r="143" spans="1:58" ht="12.9">
      <c r="A143" s="387">
        <f t="shared" ca="1" si="65"/>
        <v>0</v>
      </c>
      <c r="B143" s="387">
        <f t="shared" ca="1" si="66"/>
        <v>0</v>
      </c>
      <c r="C143" s="387">
        <f t="shared" ca="1" si="67"/>
        <v>0</v>
      </c>
      <c r="D143" s="387">
        <f t="shared" ca="1" si="68"/>
        <v>99999</v>
      </c>
      <c r="E143" s="387">
        <f t="shared" ca="1" si="69"/>
        <v>9999</v>
      </c>
      <c r="F143" s="417" t="str">
        <f t="shared" ca="1" si="63"/>
        <v>00000000000000000000062664</v>
      </c>
      <c r="G143" s="453" t="b">
        <f t="shared" ca="1" si="70"/>
        <v>1</v>
      </c>
      <c r="H143" s="454">
        <f t="shared" si="60"/>
        <v>133</v>
      </c>
      <c r="I143" s="455" t="str">
        <f t="shared" ca="1" si="71"/>
        <v/>
      </c>
      <c r="J143" s="456" t="str">
        <f ca="1">IF(N(I143)&gt;0,VLOOKUP(I143,Hraci!$A$1:$I$1500,2,0),IF(TYPE(INDIRECT(ADDRESS(ROW() + $A$9-9 + (ROW()-11)*4,2,1,1,"Internet")))&gt;1,INDIRECT(ADDRESS(ROW() + $A$9-9 + (ROW()-11)*4,2,1,1,"Internet"))," "))</f>
        <v xml:space="preserve"> </v>
      </c>
      <c r="K143" s="457" t="str">
        <f ca="1">IF(N(I143)&gt;0,VLOOKUP(I143,Hraci!$A$1:$I$1500,3,0)," ")</f>
        <v xml:space="preserve"> </v>
      </c>
      <c r="L143" s="457" t="str">
        <f ca="1">IF(N(I143)&gt;0,VLOOKUP(I143,Hraci!$A$1:$I$1500,5,0),IF(TYPE(INDIRECT(ADDRESS(ROW() + $A$9-9 + (ROW()-11)*4,3,1,1,"Internet")))&gt;1,INDIRECT(ADDRESS(ROW() + $A$9-9 + (ROW()-11)*4,3,1,1,"Internet"))," "))</f>
        <v xml:space="preserve"> </v>
      </c>
      <c r="M143" s="395">
        <f ca="1">IF(N(I143)=0,9999,VLOOKUP(I143,Hraci!$A$1:$I$1500,8,0))</f>
        <v>9999</v>
      </c>
      <c r="N143" s="458">
        <f ca="1">IF(N(I143)=0,0,VLOOKUP(I143,Hraci!$A$1:$I$1500,9,0))</f>
        <v>0</v>
      </c>
      <c r="O143" s="455" t="str">
        <f t="shared" ca="1" si="72"/>
        <v/>
      </c>
      <c r="P143" s="456" t="str">
        <f ca="1">IF(N(O143)&gt;0,VLOOKUP(O143,Hraci!$A$1:$I$1500,2,0),IF(TYPE(INDIRECT(ADDRESS(ROW() + $A$9-8 + (ROW()-11)*4,2,1,1,"Internet")))&gt;1,INDIRECT(ADDRESS(ROW() + $A$9-8 + (ROW()-11)*4,2,1,1,"Internet"))," "))</f>
        <v xml:space="preserve"> </v>
      </c>
      <c r="Q143" s="457" t="str">
        <f ca="1">IF(N(O143)&gt;0,VLOOKUP(O143,Hraci!$A$1:$I$1500,3,0)," ")</f>
        <v xml:space="preserve"> </v>
      </c>
      <c r="R143" s="457" t="str">
        <f ca="1">IF(N(O143)&gt;0,VLOOKUP(O143,Hraci!$A$1:$I$1500,5,0),IF(TYPE(INDIRECT(ADDRESS(ROW() + $A$9-8 + (ROW()-11)*4,3,1,1,"Internet")))&gt;1,INDIRECT(ADDRESS(ROW() + $A$9-8 + (ROW()-11)*4,3,1,1,"Internet"))," "))</f>
        <v xml:space="preserve"> </v>
      </c>
      <c r="S143" s="395">
        <f ca="1">IF(N(O143)=0,9999,VLOOKUP(O143,Hraci!$A$1:$I$1500,8,0))</f>
        <v>9999</v>
      </c>
      <c r="T143" s="458">
        <f ca="1">IF(N(O143)=0,0,VLOOKUP(O143,Hraci!$A$1:$I$1500,9,0))</f>
        <v>0</v>
      </c>
      <c r="U143" s="455" t="str">
        <f t="shared" ca="1" si="73"/>
        <v/>
      </c>
      <c r="V143" s="456" t="str">
        <f ca="1">IF(N(U143)&gt;0,VLOOKUP(U143,Hraci!$A$1:$I$1500,2,0),IF(TYPE(INDIRECT(ADDRESS(ROW() + $A$9-7 + (ROW()-11)*4,2,1,1,"Internet")))&gt;1,INDIRECT(ADDRESS(ROW() + $A$9-7 + (ROW()-11)*4,2,1,1,"Internet"))," "))</f>
        <v xml:space="preserve"> </v>
      </c>
      <c r="W143" s="457" t="str">
        <f ca="1">IF(N(U143)&gt;0,VLOOKUP(U143,Hraci!$A$1:$I$1500,3,0)," ")</f>
        <v xml:space="preserve"> </v>
      </c>
      <c r="X143" s="457" t="str">
        <f ca="1">IF(N(U143)&gt;0,VLOOKUP(U143,Hraci!$A$1:$I$1500,5,0),IF(TYPE(INDIRECT(ADDRESS(ROW() + $A$9-7 + (ROW()-11)*4,3,1,1,"Internet")))&gt;1,INDIRECT(ADDRESS(ROW() + $A$9-7 + (ROW()-11)*4,3,1,1,"Internet"))," "))</f>
        <v xml:space="preserve"> </v>
      </c>
      <c r="Y143" s="395">
        <f ca="1">IF(N(U143)=0,9999,VLOOKUP(U143,Hraci!$A$1:$I$1500,8,0))</f>
        <v>9999</v>
      </c>
      <c r="Z143" s="458">
        <f ca="1">IF(N(U143)=0,0,VLOOKUP(U143,Hraci!$A$1:$I$1500,9,0))</f>
        <v>0</v>
      </c>
      <c r="AA143" s="455" t="str">
        <f t="shared" ca="1" si="74"/>
        <v/>
      </c>
      <c r="AB143" s="456" t="str">
        <f ca="1">IF(N(AA143)&gt;0,VLOOKUP(AA143,Hraci!$A$1:$I$1500,2,0)," ")</f>
        <v xml:space="preserve"> </v>
      </c>
      <c r="AC143" s="457" t="str">
        <f ca="1">IF(N(AA143)&gt;0,VLOOKUP(AA143,Hraci!$A$1:$I$1500,3,0)," ")</f>
        <v xml:space="preserve"> </v>
      </c>
      <c r="AD143" s="457" t="str">
        <f ca="1">IF(N(AA143)&gt;0,VLOOKUP(AA143,Hraci!$A$1:$I$1500,5,0)," ")</f>
        <v xml:space="preserve"> </v>
      </c>
      <c r="AE143" s="395">
        <f ca="1">IF(N(AA143)=0,9999,VLOOKUP(AA143,Hraci!$A$1:$I$1500,8,0))</f>
        <v>9999</v>
      </c>
      <c r="AF143" s="458">
        <f ca="1">IF(N(AA143)=0,0,VLOOKUP(AA143,Hraci!$A$1:$I$1500,9,0))</f>
        <v>0</v>
      </c>
      <c r="AG143" s="459"/>
      <c r="AH143" s="465">
        <f ca="1">IF(TYPE(VLOOKUP(H143,Nasazení!$A$3:$E$130,5,0))&lt;4,VLOOKUP(H143,Nasazení!$A$3:$E$130,5,0),0)</f>
        <v>0</v>
      </c>
      <c r="AI143" s="460" t="str">
        <f ca="1">IF(N($AH143)&gt;0,VLOOKUP($AH143,Body!$A$4:$F$259,5,0),"")</f>
        <v/>
      </c>
      <c r="AJ143" s="461" t="str">
        <f ca="1">IF(N($AH143)&gt;0,VLOOKUP($AH143,Body!$A$4:$F$259,6,0),"")</f>
        <v/>
      </c>
      <c r="AK143" s="460" t="str">
        <f ca="1">IF(N($AH143)&gt;0,VLOOKUP($AH143,Body!$A$4:$F$259,2,0),"")</f>
        <v/>
      </c>
      <c r="AL143" s="462" t="str">
        <f t="shared" ca="1" si="61"/>
        <v/>
      </c>
      <c r="AM143" s="463">
        <f t="shared" ca="1" si="62"/>
        <v>0</v>
      </c>
      <c r="AN143" s="395">
        <f ca="1">IF(OR(TYPE(I143)&gt;1,TYPE(MATCH(I143,I$139:I144,0))&gt;1),0,MATCH(I143,I$139:I144,0))+IF(OR(TYPE(I143)&gt;1,TYPE(MATCH(I143,O$11:O$139,0))&gt;1),0,MATCH(I143,O$11:O$139,0))+IF(OR(TYPE(I143)&gt;1,TYPE(MATCH(I143,U$11:U$139,0))&gt;1),0,MATCH(I143,U$11:U$139,0))+IF(OR(TYPE(I143)&gt;1,TYPE(MATCH(I143,AA$11:AA$139,0))&gt;1),0,MATCH(I143,AA$11:AA$139,0))</f>
        <v>0</v>
      </c>
      <c r="AO143" s="395">
        <f ca="1">IF(OR(TYPE(O143)&gt;1,TYPE(MATCH(O143,I$11:I$139,0))&gt;1),0,MATCH(O143,I$11:I$139,0))+IF(OR(TYPE(O143)&gt;1,TYPE(MATCH(O143,O$139:O144,0))&gt;1),0,MATCH(O143,O$139:O144,0))+IF(OR(TYPE(O143)&gt;1,TYPE(MATCH(O143,U$11:U$139,0))&gt;1),0,MATCH(O143,U$11:U$139,0))+IF(OR(TYPE(O143)&gt;1,TYPE(MATCH(O143,AA$11:AA$139,0))&gt;1),0,MATCH(O143,AA$11:AA$139,0))</f>
        <v>0</v>
      </c>
      <c r="AP143" s="395">
        <f ca="1">IF(OR(TYPE(U143)&gt;1,TYPE(MATCH(U143,I$11:I$139,0))&gt;1),0,MATCH(U143,I$11:I$139,0))+IF(OR(TYPE(U143)&gt;1,TYPE(MATCH(U143,O$11:O$139,0))&gt;1),0,MATCH(U143,O$11:O$139,0))+IF(OR(TYPE(U143)&gt;1,TYPE(MATCH(U143,U$139:U144,0))&gt;1),0,MATCH(U143,U$139:U144,0))+IF(OR(TYPE(U143)&gt;1,TYPE(MATCH(U143,AA$11:AA$139,0))&gt;1),0,MATCH(U143,AA$11:AA$139,0))</f>
        <v>0</v>
      </c>
      <c r="AQ143" s="395">
        <f ca="1">IF(OR(TYPE(AA143)&gt;1,TYPE(MATCH(AA143,I$11:I$139,0))&gt;1),0,MATCH(AA143,I$11:I$139,0))+IF(OR(TYPE(AA143)&gt;1,TYPE(MATCH(AA143,O$11:O$139,0))&gt;1),0,MATCH(AA143,O$11:O$139,0))+IF(OR(TYPE(AA143)&gt;1,TYPE(MATCH(AA143,U$11:U$139,0))&gt;1),0,MATCH(U143,U$11:U$139,0))+IF(OR(TYPE(AA143)&gt;1,TYPE(MATCH(AA143,AA$139:AA144,0))&gt;1),0,MATCH(AA143,AA$139:AA144,0))</f>
        <v>0</v>
      </c>
      <c r="AR143" s="395">
        <f t="shared" ca="1" si="64"/>
        <v>0</v>
      </c>
    </row>
    <row r="144" spans="1:58" ht="12.9">
      <c r="A144" s="387">
        <f t="shared" ca="1" si="65"/>
        <v>0</v>
      </c>
      <c r="B144" s="387">
        <f t="shared" ca="1" si="66"/>
        <v>0</v>
      </c>
      <c r="C144" s="387">
        <f t="shared" ca="1" si="67"/>
        <v>0</v>
      </c>
      <c r="D144" s="387">
        <f t="shared" ca="1" si="68"/>
        <v>99999</v>
      </c>
      <c r="E144" s="387">
        <f t="shared" ca="1" si="69"/>
        <v>9999</v>
      </c>
      <c r="F144" s="417" t="str">
        <f t="shared" ca="1" si="63"/>
        <v>00000000000000000000327264</v>
      </c>
      <c r="G144" s="453" t="b">
        <f t="shared" ca="1" si="70"/>
        <v>1</v>
      </c>
      <c r="H144" s="454">
        <f t="shared" si="60"/>
        <v>134</v>
      </c>
      <c r="I144" s="455" t="str">
        <f t="shared" ca="1" si="71"/>
        <v/>
      </c>
      <c r="J144" s="456" t="str">
        <f ca="1">IF(N(I144)&gt;0,VLOOKUP(I144,Hraci!$A$1:$I$1500,2,0),IF(TYPE(INDIRECT(ADDRESS(ROW() + $A$9-9 + (ROW()-11)*4,2,1,1,"Internet")))&gt;1,INDIRECT(ADDRESS(ROW() + $A$9-9 + (ROW()-11)*4,2,1,1,"Internet"))," "))</f>
        <v xml:space="preserve"> </v>
      </c>
      <c r="K144" s="457" t="str">
        <f ca="1">IF(N(I144)&gt;0,VLOOKUP(I144,Hraci!$A$1:$I$1500,3,0)," ")</f>
        <v xml:space="preserve"> </v>
      </c>
      <c r="L144" s="457" t="str">
        <f ca="1">IF(N(I144)&gt;0,VLOOKUP(I144,Hraci!$A$1:$I$1500,5,0),IF(TYPE(INDIRECT(ADDRESS(ROW() + $A$9-9 + (ROW()-11)*4,3,1,1,"Internet")))&gt;1,INDIRECT(ADDRESS(ROW() + $A$9-9 + (ROW()-11)*4,3,1,1,"Internet"))," "))</f>
        <v xml:space="preserve"> </v>
      </c>
      <c r="M144" s="395">
        <f ca="1">IF(N(I144)=0,9999,VLOOKUP(I144,Hraci!$A$1:$I$1500,8,0))</f>
        <v>9999</v>
      </c>
      <c r="N144" s="458">
        <f ca="1">IF(N(I144)=0,0,VLOOKUP(I144,Hraci!$A$1:$I$1500,9,0))</f>
        <v>0</v>
      </c>
      <c r="O144" s="455" t="str">
        <f t="shared" ca="1" si="72"/>
        <v/>
      </c>
      <c r="P144" s="456" t="str">
        <f ca="1">IF(N(O144)&gt;0,VLOOKUP(O144,Hraci!$A$1:$I$1500,2,0),IF(TYPE(INDIRECT(ADDRESS(ROW() + $A$9-8 + (ROW()-11)*4,2,1,1,"Internet")))&gt;1,INDIRECT(ADDRESS(ROW() + $A$9-8 + (ROW()-11)*4,2,1,1,"Internet"))," "))</f>
        <v xml:space="preserve"> </v>
      </c>
      <c r="Q144" s="457" t="str">
        <f ca="1">IF(N(O144)&gt;0,VLOOKUP(O144,Hraci!$A$1:$I$1500,3,0)," ")</f>
        <v xml:space="preserve"> </v>
      </c>
      <c r="R144" s="457" t="str">
        <f ca="1">IF(N(O144)&gt;0,VLOOKUP(O144,Hraci!$A$1:$I$1500,5,0),IF(TYPE(INDIRECT(ADDRESS(ROW() + $A$9-8 + (ROW()-11)*4,3,1,1,"Internet")))&gt;1,INDIRECT(ADDRESS(ROW() + $A$9-8 + (ROW()-11)*4,3,1,1,"Internet"))," "))</f>
        <v xml:space="preserve"> </v>
      </c>
      <c r="S144" s="395">
        <f ca="1">IF(N(O144)=0,9999,VLOOKUP(O144,Hraci!$A$1:$I$1500,8,0))</f>
        <v>9999</v>
      </c>
      <c r="T144" s="458">
        <f ca="1">IF(N(O144)=0,0,VLOOKUP(O144,Hraci!$A$1:$I$1500,9,0))</f>
        <v>0</v>
      </c>
      <c r="U144" s="455" t="str">
        <f t="shared" ca="1" si="73"/>
        <v/>
      </c>
      <c r="V144" s="456" t="str">
        <f ca="1">IF(N(U144)&gt;0,VLOOKUP(U144,Hraci!$A$1:$I$1500,2,0),IF(TYPE(INDIRECT(ADDRESS(ROW() + $A$9-7 + (ROW()-11)*4,2,1,1,"Internet")))&gt;1,INDIRECT(ADDRESS(ROW() + $A$9-7 + (ROW()-11)*4,2,1,1,"Internet"))," "))</f>
        <v xml:space="preserve"> </v>
      </c>
      <c r="W144" s="457" t="str">
        <f ca="1">IF(N(U144)&gt;0,VLOOKUP(U144,Hraci!$A$1:$I$1500,3,0)," ")</f>
        <v xml:space="preserve"> </v>
      </c>
      <c r="X144" s="457" t="str">
        <f ca="1">IF(N(U144)&gt;0,VLOOKUP(U144,Hraci!$A$1:$I$1500,5,0),IF(TYPE(INDIRECT(ADDRESS(ROW() + $A$9-7 + (ROW()-11)*4,3,1,1,"Internet")))&gt;1,INDIRECT(ADDRESS(ROW() + $A$9-7 + (ROW()-11)*4,3,1,1,"Internet"))," "))</f>
        <v xml:space="preserve"> </v>
      </c>
      <c r="Y144" s="395">
        <f ca="1">IF(N(U144)=0,9999,VLOOKUP(U144,Hraci!$A$1:$I$1500,8,0))</f>
        <v>9999</v>
      </c>
      <c r="Z144" s="458">
        <f ca="1">IF(N(U144)=0,0,VLOOKUP(U144,Hraci!$A$1:$I$1500,9,0))</f>
        <v>0</v>
      </c>
      <c r="AA144" s="455" t="str">
        <f t="shared" ca="1" si="74"/>
        <v/>
      </c>
      <c r="AB144" s="456" t="str">
        <f ca="1">IF(N(AA144)&gt;0,VLOOKUP(AA144,Hraci!$A$1:$I$1500,2,0)," ")</f>
        <v xml:space="preserve"> </v>
      </c>
      <c r="AC144" s="457" t="str">
        <f ca="1">IF(N(AA144)&gt;0,VLOOKUP(AA144,Hraci!$A$1:$I$1500,3,0)," ")</f>
        <v xml:space="preserve"> </v>
      </c>
      <c r="AD144" s="457" t="str">
        <f ca="1">IF(N(AA144)&gt;0,VLOOKUP(AA144,Hraci!$A$1:$I$1500,5,0)," ")</f>
        <v xml:space="preserve"> </v>
      </c>
      <c r="AE144" s="395">
        <f ca="1">IF(N(AA144)=0,9999,VLOOKUP(AA144,Hraci!$A$1:$I$1500,8,0))</f>
        <v>9999</v>
      </c>
      <c r="AF144" s="458">
        <f ca="1">IF(N(AA144)=0,0,VLOOKUP(AA144,Hraci!$A$1:$I$1500,9,0))</f>
        <v>0</v>
      </c>
      <c r="AG144" s="459"/>
      <c r="AH144" s="465">
        <f ca="1">IF(TYPE(VLOOKUP(H144,Nasazení!$A$3:$E$130,5,0))&lt;4,VLOOKUP(H144,Nasazení!$A$3:$E$130,5,0),0)</f>
        <v>0</v>
      </c>
      <c r="AI144" s="460" t="str">
        <f ca="1">IF(N($AH144)&gt;0,VLOOKUP($AH144,Body!$A$4:$F$259,5,0),"")</f>
        <v/>
      </c>
      <c r="AJ144" s="461" t="str">
        <f ca="1">IF(N($AH144)&gt;0,VLOOKUP($AH144,Body!$A$4:$F$259,6,0),"")</f>
        <v/>
      </c>
      <c r="AK144" s="460" t="str">
        <f ca="1">IF(N($AH144)&gt;0,VLOOKUP($AH144,Body!$A$4:$F$259,2,0),"")</f>
        <v/>
      </c>
      <c r="AL144" s="462" t="str">
        <f t="shared" ca="1" si="61"/>
        <v/>
      </c>
      <c r="AM144" s="463">
        <f t="shared" ca="1" si="62"/>
        <v>0</v>
      </c>
      <c r="AN144" s="395">
        <f ca="1">IF(OR(TYPE(I144)&gt;1,TYPE(MATCH(I144,I$139:I145,0))&gt;1),0,MATCH(I144,I$139:I145,0))+IF(OR(TYPE(I144)&gt;1,TYPE(MATCH(I144,O$11:O$139,0))&gt;1),0,MATCH(I144,O$11:O$139,0))+IF(OR(TYPE(I144)&gt;1,TYPE(MATCH(I144,U$11:U$139,0))&gt;1),0,MATCH(I144,U$11:U$139,0))+IF(OR(TYPE(I144)&gt;1,TYPE(MATCH(I144,AA$11:AA$139,0))&gt;1),0,MATCH(I144,AA$11:AA$139,0))</f>
        <v>0</v>
      </c>
      <c r="AO144" s="395">
        <f ca="1">IF(OR(TYPE(O144)&gt;1,TYPE(MATCH(O144,I$11:I$139,0))&gt;1),0,MATCH(O144,I$11:I$139,0))+IF(OR(TYPE(O144)&gt;1,TYPE(MATCH(O144,O$139:O145,0))&gt;1),0,MATCH(O144,O$139:O145,0))+IF(OR(TYPE(O144)&gt;1,TYPE(MATCH(O144,U$11:U$139,0))&gt;1),0,MATCH(O144,U$11:U$139,0))+IF(OR(TYPE(O144)&gt;1,TYPE(MATCH(O144,AA$11:AA$139,0))&gt;1),0,MATCH(O144,AA$11:AA$139,0))</f>
        <v>0</v>
      </c>
      <c r="AP144" s="395">
        <f ca="1">IF(OR(TYPE(U144)&gt;1,TYPE(MATCH(U144,I$11:I$139,0))&gt;1),0,MATCH(U144,I$11:I$139,0))+IF(OR(TYPE(U144)&gt;1,TYPE(MATCH(U144,O$11:O$139,0))&gt;1),0,MATCH(U144,O$11:O$139,0))+IF(OR(TYPE(U144)&gt;1,TYPE(MATCH(U144,U$139:U145,0))&gt;1),0,MATCH(U144,U$139:U145,0))+IF(OR(TYPE(U144)&gt;1,TYPE(MATCH(U144,AA$11:AA$139,0))&gt;1),0,MATCH(U144,AA$11:AA$139,0))</f>
        <v>0</v>
      </c>
      <c r="AQ144" s="395">
        <f ca="1">IF(OR(TYPE(AA144)&gt;1,TYPE(MATCH(AA144,I$11:I$139,0))&gt;1),0,MATCH(AA144,I$11:I$139,0))+IF(OR(TYPE(AA144)&gt;1,TYPE(MATCH(AA144,O$11:O$139,0))&gt;1),0,MATCH(AA144,O$11:O$139,0))+IF(OR(TYPE(AA144)&gt;1,TYPE(MATCH(AA144,U$11:U$139,0))&gt;1),0,MATCH(U144,U$11:U$139,0))+IF(OR(TYPE(AA144)&gt;1,TYPE(MATCH(AA144,AA$139:AA145,0))&gt;1),0,MATCH(AA144,AA$139:AA145,0))</f>
        <v>0</v>
      </c>
      <c r="AR144" s="395">
        <f t="shared" ca="1" si="64"/>
        <v>0</v>
      </c>
    </row>
    <row r="145" spans="1:44" ht="12.9">
      <c r="A145" s="387">
        <f t="shared" ca="1" si="65"/>
        <v>0</v>
      </c>
      <c r="B145" s="387">
        <f t="shared" ca="1" si="66"/>
        <v>0</v>
      </c>
      <c r="C145" s="387">
        <f t="shared" ca="1" si="67"/>
        <v>0</v>
      </c>
      <c r="D145" s="387">
        <f t="shared" ca="1" si="68"/>
        <v>99999</v>
      </c>
      <c r="E145" s="387">
        <f t="shared" ca="1" si="69"/>
        <v>9999</v>
      </c>
      <c r="F145" s="417" t="str">
        <f t="shared" ca="1" si="63"/>
        <v>00000000000000000000721041</v>
      </c>
      <c r="G145" s="453" t="b">
        <f t="shared" ca="1" si="70"/>
        <v>1</v>
      </c>
      <c r="H145" s="454">
        <f t="shared" si="60"/>
        <v>135</v>
      </c>
      <c r="I145" s="455" t="str">
        <f t="shared" ca="1" si="71"/>
        <v/>
      </c>
      <c r="J145" s="456" t="str">
        <f ca="1">IF(N(I145)&gt;0,VLOOKUP(I145,Hraci!$A$1:$I$1500,2,0),IF(TYPE(INDIRECT(ADDRESS(ROW() + $A$9-9 + (ROW()-11)*4,2,1,1,"Internet")))&gt;1,INDIRECT(ADDRESS(ROW() + $A$9-9 + (ROW()-11)*4,2,1,1,"Internet"))," "))</f>
        <v xml:space="preserve"> </v>
      </c>
      <c r="K145" s="457" t="str">
        <f ca="1">IF(N(I145)&gt;0,VLOOKUP(I145,Hraci!$A$1:$I$1500,3,0)," ")</f>
        <v xml:space="preserve"> </v>
      </c>
      <c r="L145" s="457" t="str">
        <f ca="1">IF(N(I145)&gt;0,VLOOKUP(I145,Hraci!$A$1:$I$1500,5,0),IF(TYPE(INDIRECT(ADDRESS(ROW() + $A$9-9 + (ROW()-11)*4,3,1,1,"Internet")))&gt;1,INDIRECT(ADDRESS(ROW() + $A$9-9 + (ROW()-11)*4,3,1,1,"Internet"))," "))</f>
        <v xml:space="preserve"> </v>
      </c>
      <c r="M145" s="395">
        <f ca="1">IF(N(I145)=0,9999,VLOOKUP(I145,Hraci!$A$1:$I$1500,8,0))</f>
        <v>9999</v>
      </c>
      <c r="N145" s="458">
        <f ca="1">IF(N(I145)=0,0,VLOOKUP(I145,Hraci!$A$1:$I$1500,9,0))</f>
        <v>0</v>
      </c>
      <c r="O145" s="455" t="str">
        <f t="shared" ca="1" si="72"/>
        <v/>
      </c>
      <c r="P145" s="456" t="str">
        <f ca="1">IF(N(O145)&gt;0,VLOOKUP(O145,Hraci!$A$1:$I$1500,2,0),IF(TYPE(INDIRECT(ADDRESS(ROW() + $A$9-8 + (ROW()-11)*4,2,1,1,"Internet")))&gt;1,INDIRECT(ADDRESS(ROW() + $A$9-8 + (ROW()-11)*4,2,1,1,"Internet"))," "))</f>
        <v xml:space="preserve"> </v>
      </c>
      <c r="Q145" s="457" t="str">
        <f ca="1">IF(N(O145)&gt;0,VLOOKUP(O145,Hraci!$A$1:$I$1500,3,0)," ")</f>
        <v xml:space="preserve"> </v>
      </c>
      <c r="R145" s="457" t="str">
        <f ca="1">IF(N(O145)&gt;0,VLOOKUP(O145,Hraci!$A$1:$I$1500,5,0),IF(TYPE(INDIRECT(ADDRESS(ROW() + $A$9-8 + (ROW()-11)*4,3,1,1,"Internet")))&gt;1,INDIRECT(ADDRESS(ROW() + $A$9-8 + (ROW()-11)*4,3,1,1,"Internet"))," "))</f>
        <v xml:space="preserve"> </v>
      </c>
      <c r="S145" s="395">
        <f ca="1">IF(N(O145)=0,9999,VLOOKUP(O145,Hraci!$A$1:$I$1500,8,0))</f>
        <v>9999</v>
      </c>
      <c r="T145" s="458">
        <f ca="1">IF(N(O145)=0,0,VLOOKUP(O145,Hraci!$A$1:$I$1500,9,0))</f>
        <v>0</v>
      </c>
      <c r="U145" s="455" t="str">
        <f t="shared" ca="1" si="73"/>
        <v/>
      </c>
      <c r="V145" s="456" t="str">
        <f ca="1">IF(N(U145)&gt;0,VLOOKUP(U145,Hraci!$A$1:$I$1500,2,0),IF(TYPE(INDIRECT(ADDRESS(ROW() + $A$9-7 + (ROW()-11)*4,2,1,1,"Internet")))&gt;1,INDIRECT(ADDRESS(ROW() + $A$9-7 + (ROW()-11)*4,2,1,1,"Internet"))," "))</f>
        <v xml:space="preserve"> </v>
      </c>
      <c r="W145" s="457" t="str">
        <f ca="1">IF(N(U145)&gt;0,VLOOKUP(U145,Hraci!$A$1:$I$1500,3,0)," ")</f>
        <v xml:space="preserve"> </v>
      </c>
      <c r="X145" s="457" t="str">
        <f ca="1">IF(N(U145)&gt;0,VLOOKUP(U145,Hraci!$A$1:$I$1500,5,0),IF(TYPE(INDIRECT(ADDRESS(ROW() + $A$9-7 + (ROW()-11)*4,3,1,1,"Internet")))&gt;1,INDIRECT(ADDRESS(ROW() + $A$9-7 + (ROW()-11)*4,3,1,1,"Internet"))," "))</f>
        <v xml:space="preserve"> </v>
      </c>
      <c r="Y145" s="395">
        <f ca="1">IF(N(U145)=0,9999,VLOOKUP(U145,Hraci!$A$1:$I$1500,8,0))</f>
        <v>9999</v>
      </c>
      <c r="Z145" s="458">
        <f ca="1">IF(N(U145)=0,0,VLOOKUP(U145,Hraci!$A$1:$I$1500,9,0))</f>
        <v>0</v>
      </c>
      <c r="AA145" s="455" t="str">
        <f t="shared" ca="1" si="74"/>
        <v/>
      </c>
      <c r="AB145" s="456" t="str">
        <f ca="1">IF(N(AA145)&gt;0,VLOOKUP(AA145,Hraci!$A$1:$I$1500,2,0)," ")</f>
        <v xml:space="preserve"> </v>
      </c>
      <c r="AC145" s="457" t="str">
        <f ca="1">IF(N(AA145)&gt;0,VLOOKUP(AA145,Hraci!$A$1:$I$1500,3,0)," ")</f>
        <v xml:space="preserve"> </v>
      </c>
      <c r="AD145" s="457" t="str">
        <f ca="1">IF(N(AA145)&gt;0,VLOOKUP(AA145,Hraci!$A$1:$I$1500,5,0)," ")</f>
        <v xml:space="preserve"> </v>
      </c>
      <c r="AE145" s="395">
        <f ca="1">IF(N(AA145)=0,9999,VLOOKUP(AA145,Hraci!$A$1:$I$1500,8,0))</f>
        <v>9999</v>
      </c>
      <c r="AF145" s="458">
        <f ca="1">IF(N(AA145)=0,0,VLOOKUP(AA145,Hraci!$A$1:$I$1500,9,0))</f>
        <v>0</v>
      </c>
      <c r="AG145" s="459"/>
      <c r="AH145" s="465">
        <f ca="1">IF(TYPE(VLOOKUP(H145,Nasazení!$A$3:$E$130,5,0))&lt;4,VLOOKUP(H145,Nasazení!$A$3:$E$130,5,0),0)</f>
        <v>0</v>
      </c>
      <c r="AI145" s="460" t="str">
        <f ca="1">IF(N($AH145)&gt;0,VLOOKUP($AH145,Body!$A$4:$F$259,5,0),"")</f>
        <v/>
      </c>
      <c r="AJ145" s="461" t="str">
        <f ca="1">IF(N($AH145)&gt;0,VLOOKUP($AH145,Body!$A$4:$F$259,6,0),"")</f>
        <v/>
      </c>
      <c r="AK145" s="460" t="str">
        <f ca="1">IF(N($AH145)&gt;0,VLOOKUP($AH145,Body!$A$4:$F$259,2,0),"")</f>
        <v/>
      </c>
      <c r="AL145" s="462" t="str">
        <f t="shared" ca="1" si="61"/>
        <v/>
      </c>
      <c r="AM145" s="463">
        <f t="shared" ca="1" si="62"/>
        <v>0</v>
      </c>
      <c r="AN145" s="395">
        <f ca="1">IF(OR(TYPE(I145)&gt;1,TYPE(MATCH(I145,I$139:I146,0))&gt;1),0,MATCH(I145,I$139:I146,0))+IF(OR(TYPE(I145)&gt;1,TYPE(MATCH(I145,O$11:O$139,0))&gt;1),0,MATCH(I145,O$11:O$139,0))+IF(OR(TYPE(I145)&gt;1,TYPE(MATCH(I145,U$11:U$139,0))&gt;1),0,MATCH(I145,U$11:U$139,0))+IF(OR(TYPE(I145)&gt;1,TYPE(MATCH(I145,AA$11:AA$139,0))&gt;1),0,MATCH(I145,AA$11:AA$139,0))</f>
        <v>0</v>
      </c>
      <c r="AO145" s="395">
        <f ca="1">IF(OR(TYPE(O145)&gt;1,TYPE(MATCH(O145,I$11:I$139,0))&gt;1),0,MATCH(O145,I$11:I$139,0))+IF(OR(TYPE(O145)&gt;1,TYPE(MATCH(O145,O$139:O146,0))&gt;1),0,MATCH(O145,O$139:O146,0))+IF(OR(TYPE(O145)&gt;1,TYPE(MATCH(O145,U$11:U$139,0))&gt;1),0,MATCH(O145,U$11:U$139,0))+IF(OR(TYPE(O145)&gt;1,TYPE(MATCH(O145,AA$11:AA$139,0))&gt;1),0,MATCH(O145,AA$11:AA$139,0))</f>
        <v>0</v>
      </c>
      <c r="AP145" s="395">
        <f ca="1">IF(OR(TYPE(U145)&gt;1,TYPE(MATCH(U145,I$11:I$139,0))&gt;1),0,MATCH(U145,I$11:I$139,0))+IF(OR(TYPE(U145)&gt;1,TYPE(MATCH(U145,O$11:O$139,0))&gt;1),0,MATCH(U145,O$11:O$139,0))+IF(OR(TYPE(U145)&gt;1,TYPE(MATCH(U145,U$139:U146,0))&gt;1),0,MATCH(U145,U$139:U146,0))+IF(OR(TYPE(U145)&gt;1,TYPE(MATCH(U145,AA$11:AA$139,0))&gt;1),0,MATCH(U145,AA$11:AA$139,0))</f>
        <v>0</v>
      </c>
      <c r="AQ145" s="395">
        <f ca="1">IF(OR(TYPE(AA145)&gt;1,TYPE(MATCH(AA145,I$11:I$139,0))&gt;1),0,MATCH(AA145,I$11:I$139,0))+IF(OR(TYPE(AA145)&gt;1,TYPE(MATCH(AA145,O$11:O$139,0))&gt;1),0,MATCH(AA145,O$11:O$139,0))+IF(OR(TYPE(AA145)&gt;1,TYPE(MATCH(AA145,U$11:U$139,0))&gt;1),0,MATCH(U145,U$11:U$139,0))+IF(OR(TYPE(AA145)&gt;1,TYPE(MATCH(AA145,AA$139:AA146,0))&gt;1),0,MATCH(AA145,AA$139:AA146,0))</f>
        <v>0</v>
      </c>
      <c r="AR145" s="395">
        <f t="shared" ca="1" si="64"/>
        <v>0</v>
      </c>
    </row>
    <row r="146" spans="1:44" ht="12.9">
      <c r="A146" s="387">
        <f t="shared" ca="1" si="65"/>
        <v>0</v>
      </c>
      <c r="B146" s="387">
        <f t="shared" ca="1" si="66"/>
        <v>0</v>
      </c>
      <c r="C146" s="387">
        <f t="shared" ca="1" si="67"/>
        <v>0</v>
      </c>
      <c r="D146" s="387">
        <f t="shared" ca="1" si="68"/>
        <v>99999</v>
      </c>
      <c r="E146" s="387">
        <f t="shared" ca="1" si="69"/>
        <v>9999</v>
      </c>
      <c r="F146" s="417" t="str">
        <f t="shared" ca="1" si="63"/>
        <v>00000000000000000000028055</v>
      </c>
      <c r="G146" s="453" t="b">
        <f t="shared" ca="1" si="70"/>
        <v>1</v>
      </c>
      <c r="H146" s="454">
        <f t="shared" si="60"/>
        <v>136</v>
      </c>
      <c r="I146" s="455" t="str">
        <f t="shared" ca="1" si="71"/>
        <v/>
      </c>
      <c r="J146" s="456" t="str">
        <f ca="1">IF(N(I146)&gt;0,VLOOKUP(I146,Hraci!$A$1:$I$1500,2,0),IF(TYPE(INDIRECT(ADDRESS(ROW() + $A$9-9 + (ROW()-11)*4,2,1,1,"Internet")))&gt;1,INDIRECT(ADDRESS(ROW() + $A$9-9 + (ROW()-11)*4,2,1,1,"Internet"))," "))</f>
        <v xml:space="preserve"> </v>
      </c>
      <c r="K146" s="457" t="str">
        <f ca="1">IF(N(I146)&gt;0,VLOOKUP(I146,Hraci!$A$1:$I$1500,3,0)," ")</f>
        <v xml:space="preserve"> </v>
      </c>
      <c r="L146" s="457" t="str">
        <f ca="1">IF(N(I146)&gt;0,VLOOKUP(I146,Hraci!$A$1:$I$1500,5,0),IF(TYPE(INDIRECT(ADDRESS(ROW() + $A$9-9 + (ROW()-11)*4,3,1,1,"Internet")))&gt;1,INDIRECT(ADDRESS(ROW() + $A$9-9 + (ROW()-11)*4,3,1,1,"Internet"))," "))</f>
        <v xml:space="preserve"> </v>
      </c>
      <c r="M146" s="395">
        <f ca="1">IF(N(I146)=0,9999,VLOOKUP(I146,Hraci!$A$1:$I$1500,8,0))</f>
        <v>9999</v>
      </c>
      <c r="N146" s="458">
        <f ca="1">IF(N(I146)=0,0,VLOOKUP(I146,Hraci!$A$1:$I$1500,9,0))</f>
        <v>0</v>
      </c>
      <c r="O146" s="455" t="str">
        <f t="shared" ca="1" si="72"/>
        <v/>
      </c>
      <c r="P146" s="456" t="str">
        <f ca="1">IF(N(O146)&gt;0,VLOOKUP(O146,Hraci!$A$1:$I$1500,2,0),IF(TYPE(INDIRECT(ADDRESS(ROW() + $A$9-8 + (ROW()-11)*4,2,1,1,"Internet")))&gt;1,INDIRECT(ADDRESS(ROW() + $A$9-8 + (ROW()-11)*4,2,1,1,"Internet"))," "))</f>
        <v xml:space="preserve"> </v>
      </c>
      <c r="Q146" s="457" t="str">
        <f ca="1">IF(N(O146)&gt;0,VLOOKUP(O146,Hraci!$A$1:$I$1500,3,0)," ")</f>
        <v xml:space="preserve"> </v>
      </c>
      <c r="R146" s="457" t="str">
        <f ca="1">IF(N(O146)&gt;0,VLOOKUP(O146,Hraci!$A$1:$I$1500,5,0),IF(TYPE(INDIRECT(ADDRESS(ROW() + $A$9-8 + (ROW()-11)*4,3,1,1,"Internet")))&gt;1,INDIRECT(ADDRESS(ROW() + $A$9-8 + (ROW()-11)*4,3,1,1,"Internet"))," "))</f>
        <v xml:space="preserve"> </v>
      </c>
      <c r="S146" s="395">
        <f ca="1">IF(N(O146)=0,9999,VLOOKUP(O146,Hraci!$A$1:$I$1500,8,0))</f>
        <v>9999</v>
      </c>
      <c r="T146" s="458">
        <f ca="1">IF(N(O146)=0,0,VLOOKUP(O146,Hraci!$A$1:$I$1500,9,0))</f>
        <v>0</v>
      </c>
      <c r="U146" s="455" t="str">
        <f t="shared" ca="1" si="73"/>
        <v/>
      </c>
      <c r="V146" s="456" t="str">
        <f ca="1">IF(N(U146)&gt;0,VLOOKUP(U146,Hraci!$A$1:$I$1500,2,0),IF(TYPE(INDIRECT(ADDRESS(ROW() + $A$9-7 + (ROW()-11)*4,2,1,1,"Internet")))&gt;1,INDIRECT(ADDRESS(ROW() + $A$9-7 + (ROW()-11)*4,2,1,1,"Internet"))," "))</f>
        <v xml:space="preserve"> </v>
      </c>
      <c r="W146" s="457" t="str">
        <f ca="1">IF(N(U146)&gt;0,VLOOKUP(U146,Hraci!$A$1:$I$1500,3,0)," ")</f>
        <v xml:space="preserve"> </v>
      </c>
      <c r="X146" s="457" t="str">
        <f ca="1">IF(N(U146)&gt;0,VLOOKUP(U146,Hraci!$A$1:$I$1500,5,0),IF(TYPE(INDIRECT(ADDRESS(ROW() + $A$9-7 + (ROW()-11)*4,3,1,1,"Internet")))&gt;1,INDIRECT(ADDRESS(ROW() + $A$9-7 + (ROW()-11)*4,3,1,1,"Internet"))," "))</f>
        <v xml:space="preserve"> </v>
      </c>
      <c r="Y146" s="395">
        <f ca="1">IF(N(U146)=0,9999,VLOOKUP(U146,Hraci!$A$1:$I$1500,8,0))</f>
        <v>9999</v>
      </c>
      <c r="Z146" s="458">
        <f ca="1">IF(N(U146)=0,0,VLOOKUP(U146,Hraci!$A$1:$I$1500,9,0))</f>
        <v>0</v>
      </c>
      <c r="AA146" s="455" t="str">
        <f t="shared" ca="1" si="74"/>
        <v/>
      </c>
      <c r="AB146" s="456" t="str">
        <f ca="1">IF(N(AA146)&gt;0,VLOOKUP(AA146,Hraci!$A$1:$I$1500,2,0)," ")</f>
        <v xml:space="preserve"> </v>
      </c>
      <c r="AC146" s="457" t="str">
        <f ca="1">IF(N(AA146)&gt;0,VLOOKUP(AA146,Hraci!$A$1:$I$1500,3,0)," ")</f>
        <v xml:space="preserve"> </v>
      </c>
      <c r="AD146" s="457" t="str">
        <f ca="1">IF(N(AA146)&gt;0,VLOOKUP(AA146,Hraci!$A$1:$I$1500,5,0)," ")</f>
        <v xml:space="preserve"> </v>
      </c>
      <c r="AE146" s="395">
        <f ca="1">IF(N(AA146)=0,9999,VLOOKUP(AA146,Hraci!$A$1:$I$1500,8,0))</f>
        <v>9999</v>
      </c>
      <c r="AF146" s="458">
        <f ca="1">IF(N(AA146)=0,0,VLOOKUP(AA146,Hraci!$A$1:$I$1500,9,0))</f>
        <v>0</v>
      </c>
      <c r="AG146" s="459"/>
      <c r="AH146" s="465">
        <f ca="1">IF(TYPE(VLOOKUP(H146,Nasazení!$A$3:$E$130,5,0))&lt;4,VLOOKUP(H146,Nasazení!$A$3:$E$130,5,0),0)</f>
        <v>0</v>
      </c>
      <c r="AI146" s="460" t="str">
        <f ca="1">IF(N($AH146)&gt;0,VLOOKUP($AH146,Body!$A$4:$F$259,5,0),"")</f>
        <v/>
      </c>
      <c r="AJ146" s="461" t="str">
        <f ca="1">IF(N($AH146)&gt;0,VLOOKUP($AH146,Body!$A$4:$F$259,6,0),"")</f>
        <v/>
      </c>
      <c r="AK146" s="460" t="str">
        <f ca="1">IF(N($AH146)&gt;0,VLOOKUP($AH146,Body!$A$4:$F$259,2,0),"")</f>
        <v/>
      </c>
      <c r="AL146" s="462" t="str">
        <f t="shared" ca="1" si="61"/>
        <v/>
      </c>
      <c r="AM146" s="463">
        <f t="shared" ca="1" si="62"/>
        <v>0</v>
      </c>
      <c r="AN146" s="395">
        <f ca="1">IF(OR(TYPE(I146)&gt;1,TYPE(MATCH(I146,I$139:I147,0))&gt;1),0,MATCH(I146,I$139:I147,0))+IF(OR(TYPE(I146)&gt;1,TYPE(MATCH(I146,O$11:O$139,0))&gt;1),0,MATCH(I146,O$11:O$139,0))+IF(OR(TYPE(I146)&gt;1,TYPE(MATCH(I146,U$11:U$139,0))&gt;1),0,MATCH(I146,U$11:U$139,0))+IF(OR(TYPE(I146)&gt;1,TYPE(MATCH(I146,AA$11:AA$139,0))&gt;1),0,MATCH(I146,AA$11:AA$139,0))</f>
        <v>0</v>
      </c>
      <c r="AO146" s="395">
        <f ca="1">IF(OR(TYPE(O146)&gt;1,TYPE(MATCH(O146,I$11:I$139,0))&gt;1),0,MATCH(O146,I$11:I$139,0))+IF(OR(TYPE(O146)&gt;1,TYPE(MATCH(O146,O$139:O147,0))&gt;1),0,MATCH(O146,O$139:O147,0))+IF(OR(TYPE(O146)&gt;1,TYPE(MATCH(O146,U$11:U$139,0))&gt;1),0,MATCH(O146,U$11:U$139,0))+IF(OR(TYPE(O146)&gt;1,TYPE(MATCH(O146,AA$11:AA$139,0))&gt;1),0,MATCH(O146,AA$11:AA$139,0))</f>
        <v>0</v>
      </c>
      <c r="AP146" s="395">
        <f ca="1">IF(OR(TYPE(U146)&gt;1,TYPE(MATCH(U146,I$11:I$139,0))&gt;1),0,MATCH(U146,I$11:I$139,0))+IF(OR(TYPE(U146)&gt;1,TYPE(MATCH(U146,O$11:O$139,0))&gt;1),0,MATCH(U146,O$11:O$139,0))+IF(OR(TYPE(U146)&gt;1,TYPE(MATCH(U146,U$139:U147,0))&gt;1),0,MATCH(U146,U$139:U147,0))+IF(OR(TYPE(U146)&gt;1,TYPE(MATCH(U146,AA$11:AA$139,0))&gt;1),0,MATCH(U146,AA$11:AA$139,0))</f>
        <v>0</v>
      </c>
      <c r="AQ146" s="395">
        <f ca="1">IF(OR(TYPE(AA146)&gt;1,TYPE(MATCH(AA146,I$11:I$139,0))&gt;1),0,MATCH(AA146,I$11:I$139,0))+IF(OR(TYPE(AA146)&gt;1,TYPE(MATCH(AA146,O$11:O$139,0))&gt;1),0,MATCH(AA146,O$11:O$139,0))+IF(OR(TYPE(AA146)&gt;1,TYPE(MATCH(AA146,U$11:U$139,0))&gt;1),0,MATCH(U146,U$11:U$139,0))+IF(OR(TYPE(AA146)&gt;1,TYPE(MATCH(AA146,AA$139:AA147,0))&gt;1),0,MATCH(AA146,AA$139:AA147,0))</f>
        <v>0</v>
      </c>
      <c r="AR146" s="395">
        <f t="shared" ca="1" si="64"/>
        <v>0</v>
      </c>
    </row>
    <row r="147" spans="1:44" ht="12.9">
      <c r="A147" s="387">
        <f t="shared" ca="1" si="65"/>
        <v>0</v>
      </c>
      <c r="B147" s="387">
        <f t="shared" ca="1" si="66"/>
        <v>0</v>
      </c>
      <c r="C147" s="387">
        <f t="shared" ca="1" si="67"/>
        <v>0</v>
      </c>
      <c r="D147" s="387">
        <f t="shared" ca="1" si="68"/>
        <v>99999</v>
      </c>
      <c r="E147" s="387">
        <f t="shared" ca="1" si="69"/>
        <v>9999</v>
      </c>
      <c r="F147" s="417" t="str">
        <f t="shared" ca="1" si="63"/>
        <v>00000000000000000000107874</v>
      </c>
      <c r="G147" s="453" t="b">
        <f t="shared" ca="1" si="70"/>
        <v>1</v>
      </c>
      <c r="H147" s="454">
        <f t="shared" si="60"/>
        <v>137</v>
      </c>
      <c r="I147" s="455" t="str">
        <f t="shared" ca="1" si="71"/>
        <v/>
      </c>
      <c r="J147" s="456" t="str">
        <f ca="1">IF(N(I147)&gt;0,VLOOKUP(I147,Hraci!$A$1:$I$1500,2,0),IF(TYPE(INDIRECT(ADDRESS(ROW() + $A$9-9 + (ROW()-11)*4,2,1,1,"Internet")))&gt;1,INDIRECT(ADDRESS(ROW() + $A$9-9 + (ROW()-11)*4,2,1,1,"Internet"))," "))</f>
        <v xml:space="preserve"> </v>
      </c>
      <c r="K147" s="457" t="str">
        <f ca="1">IF(N(I147)&gt;0,VLOOKUP(I147,Hraci!$A$1:$I$1500,3,0)," ")</f>
        <v xml:space="preserve"> </v>
      </c>
      <c r="L147" s="457" t="str">
        <f ca="1">IF(N(I147)&gt;0,VLOOKUP(I147,Hraci!$A$1:$I$1500,5,0),IF(TYPE(INDIRECT(ADDRESS(ROW() + $A$9-9 + (ROW()-11)*4,3,1,1,"Internet")))&gt;1,INDIRECT(ADDRESS(ROW() + $A$9-9 + (ROW()-11)*4,3,1,1,"Internet"))," "))</f>
        <v xml:space="preserve"> </v>
      </c>
      <c r="M147" s="395">
        <f ca="1">IF(N(I147)=0,9999,VLOOKUP(I147,Hraci!$A$1:$I$1500,8,0))</f>
        <v>9999</v>
      </c>
      <c r="N147" s="458">
        <f ca="1">IF(N(I147)=0,0,VLOOKUP(I147,Hraci!$A$1:$I$1500,9,0))</f>
        <v>0</v>
      </c>
      <c r="O147" s="455" t="str">
        <f t="shared" ca="1" si="72"/>
        <v/>
      </c>
      <c r="P147" s="456" t="str">
        <f ca="1">IF(N(O147)&gt;0,VLOOKUP(O147,Hraci!$A$1:$I$1500,2,0),IF(TYPE(INDIRECT(ADDRESS(ROW() + $A$9-8 + (ROW()-11)*4,2,1,1,"Internet")))&gt;1,INDIRECT(ADDRESS(ROW() + $A$9-8 + (ROW()-11)*4,2,1,1,"Internet"))," "))</f>
        <v xml:space="preserve"> </v>
      </c>
      <c r="Q147" s="457" t="str">
        <f ca="1">IF(N(O147)&gt;0,VLOOKUP(O147,Hraci!$A$1:$I$1500,3,0)," ")</f>
        <v xml:space="preserve"> </v>
      </c>
      <c r="R147" s="457" t="str">
        <f ca="1">IF(N(O147)&gt;0,VLOOKUP(O147,Hraci!$A$1:$I$1500,5,0),IF(TYPE(INDIRECT(ADDRESS(ROW() + $A$9-8 + (ROW()-11)*4,3,1,1,"Internet")))&gt;1,INDIRECT(ADDRESS(ROW() + $A$9-8 + (ROW()-11)*4,3,1,1,"Internet"))," "))</f>
        <v xml:space="preserve"> </v>
      </c>
      <c r="S147" s="395">
        <f ca="1">IF(N(O147)=0,9999,VLOOKUP(O147,Hraci!$A$1:$I$1500,8,0))</f>
        <v>9999</v>
      </c>
      <c r="T147" s="458">
        <f ca="1">IF(N(O147)=0,0,VLOOKUP(O147,Hraci!$A$1:$I$1500,9,0))</f>
        <v>0</v>
      </c>
      <c r="U147" s="455" t="str">
        <f t="shared" ca="1" si="73"/>
        <v/>
      </c>
      <c r="V147" s="456" t="str">
        <f ca="1">IF(N(U147)&gt;0,VLOOKUP(U147,Hraci!$A$1:$I$1500,2,0),IF(TYPE(INDIRECT(ADDRESS(ROW() + $A$9-7 + (ROW()-11)*4,2,1,1,"Internet")))&gt;1,INDIRECT(ADDRESS(ROW() + $A$9-7 + (ROW()-11)*4,2,1,1,"Internet"))," "))</f>
        <v xml:space="preserve"> </v>
      </c>
      <c r="W147" s="457" t="str">
        <f ca="1">IF(N(U147)&gt;0,VLOOKUP(U147,Hraci!$A$1:$I$1500,3,0)," ")</f>
        <v xml:space="preserve"> </v>
      </c>
      <c r="X147" s="457" t="str">
        <f ca="1">IF(N(U147)&gt;0,VLOOKUP(U147,Hraci!$A$1:$I$1500,5,0),IF(TYPE(INDIRECT(ADDRESS(ROW() + $A$9-7 + (ROW()-11)*4,3,1,1,"Internet")))&gt;1,INDIRECT(ADDRESS(ROW() + $A$9-7 + (ROW()-11)*4,3,1,1,"Internet"))," "))</f>
        <v xml:space="preserve"> </v>
      </c>
      <c r="Y147" s="395">
        <f ca="1">IF(N(U147)=0,9999,VLOOKUP(U147,Hraci!$A$1:$I$1500,8,0))</f>
        <v>9999</v>
      </c>
      <c r="Z147" s="458">
        <f ca="1">IF(N(U147)=0,0,VLOOKUP(U147,Hraci!$A$1:$I$1500,9,0))</f>
        <v>0</v>
      </c>
      <c r="AA147" s="455" t="str">
        <f t="shared" ca="1" si="74"/>
        <v/>
      </c>
      <c r="AB147" s="456" t="str">
        <f ca="1">IF(N(AA147)&gt;0,VLOOKUP(AA147,Hraci!$A$1:$I$1500,2,0)," ")</f>
        <v xml:space="preserve"> </v>
      </c>
      <c r="AC147" s="457" t="str">
        <f ca="1">IF(N(AA147)&gt;0,VLOOKUP(AA147,Hraci!$A$1:$I$1500,3,0)," ")</f>
        <v xml:space="preserve"> </v>
      </c>
      <c r="AD147" s="457" t="str">
        <f ca="1">IF(N(AA147)&gt;0,VLOOKUP(AA147,Hraci!$A$1:$I$1500,5,0)," ")</f>
        <v xml:space="preserve"> </v>
      </c>
      <c r="AE147" s="395">
        <f ca="1">IF(N(AA147)=0,9999,VLOOKUP(AA147,Hraci!$A$1:$I$1500,8,0))</f>
        <v>9999</v>
      </c>
      <c r="AF147" s="458">
        <f ca="1">IF(N(AA147)=0,0,VLOOKUP(AA147,Hraci!$A$1:$I$1500,9,0))</f>
        <v>0</v>
      </c>
      <c r="AG147" s="459"/>
      <c r="AH147" s="465">
        <f ca="1">IF(TYPE(VLOOKUP(H147,Nasazení!$A$3:$E$130,5,0))&lt;4,VLOOKUP(H147,Nasazení!$A$3:$E$130,5,0),0)</f>
        <v>0</v>
      </c>
      <c r="AI147" s="460" t="str">
        <f ca="1">IF(N($AH147)&gt;0,VLOOKUP($AH147,Body!$A$4:$F$259,5,0),"")</f>
        <v/>
      </c>
      <c r="AJ147" s="461" t="str">
        <f ca="1">IF(N($AH147)&gt;0,VLOOKUP($AH147,Body!$A$4:$F$259,6,0),"")</f>
        <v/>
      </c>
      <c r="AK147" s="460" t="str">
        <f ca="1">IF(N($AH147)&gt;0,VLOOKUP($AH147,Body!$A$4:$F$259,2,0),"")</f>
        <v/>
      </c>
      <c r="AL147" s="462" t="str">
        <f t="shared" ca="1" si="61"/>
        <v/>
      </c>
      <c r="AM147" s="463">
        <f t="shared" ca="1" si="62"/>
        <v>0</v>
      </c>
      <c r="AN147" s="395">
        <f ca="1">IF(OR(TYPE(I147)&gt;1,TYPE(MATCH(I147,I$139:I148,0))&gt;1),0,MATCH(I147,I$139:I148,0))+IF(OR(TYPE(I147)&gt;1,TYPE(MATCH(I147,O$11:O$139,0))&gt;1),0,MATCH(I147,O$11:O$139,0))+IF(OR(TYPE(I147)&gt;1,TYPE(MATCH(I147,U$11:U$139,0))&gt;1),0,MATCH(I147,U$11:U$139,0))+IF(OR(TYPE(I147)&gt;1,TYPE(MATCH(I147,AA$11:AA$139,0))&gt;1),0,MATCH(I147,AA$11:AA$139,0))</f>
        <v>0</v>
      </c>
      <c r="AO147" s="395">
        <f ca="1">IF(OR(TYPE(O147)&gt;1,TYPE(MATCH(O147,I$11:I$139,0))&gt;1),0,MATCH(O147,I$11:I$139,0))+IF(OR(TYPE(O147)&gt;1,TYPE(MATCH(O147,O$139:O148,0))&gt;1),0,MATCH(O147,O$139:O148,0))+IF(OR(TYPE(O147)&gt;1,TYPE(MATCH(O147,U$11:U$139,0))&gt;1),0,MATCH(O147,U$11:U$139,0))+IF(OR(TYPE(O147)&gt;1,TYPE(MATCH(O147,AA$11:AA$139,0))&gt;1),0,MATCH(O147,AA$11:AA$139,0))</f>
        <v>0</v>
      </c>
      <c r="AP147" s="395">
        <f ca="1">IF(OR(TYPE(U147)&gt;1,TYPE(MATCH(U147,I$11:I$139,0))&gt;1),0,MATCH(U147,I$11:I$139,0))+IF(OR(TYPE(U147)&gt;1,TYPE(MATCH(U147,O$11:O$139,0))&gt;1),0,MATCH(U147,O$11:O$139,0))+IF(OR(TYPE(U147)&gt;1,TYPE(MATCH(U147,U$139:U148,0))&gt;1),0,MATCH(U147,U$139:U148,0))+IF(OR(TYPE(U147)&gt;1,TYPE(MATCH(U147,AA$11:AA$139,0))&gt;1),0,MATCH(U147,AA$11:AA$139,0))</f>
        <v>0</v>
      </c>
      <c r="AQ147" s="395">
        <f ca="1">IF(OR(TYPE(AA147)&gt;1,TYPE(MATCH(AA147,I$11:I$139,0))&gt;1),0,MATCH(AA147,I$11:I$139,0))+IF(OR(TYPE(AA147)&gt;1,TYPE(MATCH(AA147,O$11:O$139,0))&gt;1),0,MATCH(AA147,O$11:O$139,0))+IF(OR(TYPE(AA147)&gt;1,TYPE(MATCH(AA147,U$11:U$139,0))&gt;1),0,MATCH(U147,U$11:U$139,0))+IF(OR(TYPE(AA147)&gt;1,TYPE(MATCH(AA147,AA$139:AA148,0))&gt;1),0,MATCH(AA147,AA$139:AA148,0))</f>
        <v>0</v>
      </c>
      <c r="AR147" s="395">
        <f t="shared" ca="1" si="64"/>
        <v>0</v>
      </c>
    </row>
    <row r="148" spans="1:44" ht="12.9">
      <c r="A148" s="387">
        <f t="shared" ca="1" si="65"/>
        <v>0</v>
      </c>
      <c r="B148" s="387">
        <f t="shared" ca="1" si="66"/>
        <v>0</v>
      </c>
      <c r="C148" s="387">
        <f t="shared" ca="1" si="67"/>
        <v>0</v>
      </c>
      <c r="D148" s="387">
        <f t="shared" ca="1" si="68"/>
        <v>99999</v>
      </c>
      <c r="E148" s="387">
        <f t="shared" ca="1" si="69"/>
        <v>9999</v>
      </c>
      <c r="F148" s="417" t="str">
        <f t="shared" ca="1" si="63"/>
        <v>00000000000000000000993320</v>
      </c>
      <c r="G148" s="453" t="b">
        <f t="shared" ca="1" si="70"/>
        <v>1</v>
      </c>
      <c r="H148" s="454">
        <f t="shared" si="60"/>
        <v>138</v>
      </c>
      <c r="I148" s="455" t="str">
        <f t="shared" ca="1" si="71"/>
        <v/>
      </c>
      <c r="J148" s="456" t="str">
        <f ca="1">IF(N(I148)&gt;0,VLOOKUP(I148,Hraci!$A$1:$I$1500,2,0),IF(TYPE(INDIRECT(ADDRESS(ROW() + $A$9-9 + (ROW()-11)*4,2,1,1,"Internet")))&gt;1,INDIRECT(ADDRESS(ROW() + $A$9-9 + (ROW()-11)*4,2,1,1,"Internet"))," "))</f>
        <v xml:space="preserve"> </v>
      </c>
      <c r="K148" s="457" t="str">
        <f ca="1">IF(N(I148)&gt;0,VLOOKUP(I148,Hraci!$A$1:$I$1500,3,0)," ")</f>
        <v xml:space="preserve"> </v>
      </c>
      <c r="L148" s="457" t="str">
        <f ca="1">IF(N(I148)&gt;0,VLOOKUP(I148,Hraci!$A$1:$I$1500,5,0),IF(TYPE(INDIRECT(ADDRESS(ROW() + $A$9-9 + (ROW()-11)*4,3,1,1,"Internet")))&gt;1,INDIRECT(ADDRESS(ROW() + $A$9-9 + (ROW()-11)*4,3,1,1,"Internet"))," "))</f>
        <v xml:space="preserve"> </v>
      </c>
      <c r="M148" s="395">
        <f ca="1">IF(N(I148)=0,9999,VLOOKUP(I148,Hraci!$A$1:$I$1500,8,0))</f>
        <v>9999</v>
      </c>
      <c r="N148" s="458">
        <f ca="1">IF(N(I148)=0,0,VLOOKUP(I148,Hraci!$A$1:$I$1500,9,0))</f>
        <v>0</v>
      </c>
      <c r="O148" s="455" t="str">
        <f t="shared" ca="1" si="72"/>
        <v/>
      </c>
      <c r="P148" s="456" t="str">
        <f ca="1">IF(N(O148)&gt;0,VLOOKUP(O148,Hraci!$A$1:$I$1500,2,0),IF(TYPE(INDIRECT(ADDRESS(ROW() + $A$9-8 + (ROW()-11)*4,2,1,1,"Internet")))&gt;1,INDIRECT(ADDRESS(ROW() + $A$9-8 + (ROW()-11)*4,2,1,1,"Internet"))," "))</f>
        <v xml:space="preserve"> </v>
      </c>
      <c r="Q148" s="457" t="str">
        <f ca="1">IF(N(O148)&gt;0,VLOOKUP(O148,Hraci!$A$1:$I$1500,3,0)," ")</f>
        <v xml:space="preserve"> </v>
      </c>
      <c r="R148" s="457" t="str">
        <f ca="1">IF(N(O148)&gt;0,VLOOKUP(O148,Hraci!$A$1:$I$1500,5,0),IF(TYPE(INDIRECT(ADDRESS(ROW() + $A$9-8 + (ROW()-11)*4,3,1,1,"Internet")))&gt;1,INDIRECT(ADDRESS(ROW() + $A$9-8 + (ROW()-11)*4,3,1,1,"Internet"))," "))</f>
        <v xml:space="preserve"> </v>
      </c>
      <c r="S148" s="395">
        <f ca="1">IF(N(O148)=0,9999,VLOOKUP(O148,Hraci!$A$1:$I$1500,8,0))</f>
        <v>9999</v>
      </c>
      <c r="T148" s="458">
        <f ca="1">IF(N(O148)=0,0,VLOOKUP(O148,Hraci!$A$1:$I$1500,9,0))</f>
        <v>0</v>
      </c>
      <c r="U148" s="455" t="str">
        <f t="shared" ca="1" si="73"/>
        <v/>
      </c>
      <c r="V148" s="456" t="str">
        <f ca="1">IF(N(U148)&gt;0,VLOOKUP(U148,Hraci!$A$1:$I$1500,2,0),IF(TYPE(INDIRECT(ADDRESS(ROW() + $A$9-7 + (ROW()-11)*4,2,1,1,"Internet")))&gt;1,INDIRECT(ADDRESS(ROW() + $A$9-7 + (ROW()-11)*4,2,1,1,"Internet"))," "))</f>
        <v xml:space="preserve"> </v>
      </c>
      <c r="W148" s="457" t="str">
        <f ca="1">IF(N(U148)&gt;0,VLOOKUP(U148,Hraci!$A$1:$I$1500,3,0)," ")</f>
        <v xml:space="preserve"> </v>
      </c>
      <c r="X148" s="457" t="str">
        <f ca="1">IF(N(U148)&gt;0,VLOOKUP(U148,Hraci!$A$1:$I$1500,5,0),IF(TYPE(INDIRECT(ADDRESS(ROW() + $A$9-7 + (ROW()-11)*4,3,1,1,"Internet")))&gt;1,INDIRECT(ADDRESS(ROW() + $A$9-7 + (ROW()-11)*4,3,1,1,"Internet"))," "))</f>
        <v xml:space="preserve"> </v>
      </c>
      <c r="Y148" s="395">
        <f ca="1">IF(N(U148)=0,9999,VLOOKUP(U148,Hraci!$A$1:$I$1500,8,0))</f>
        <v>9999</v>
      </c>
      <c r="Z148" s="458">
        <f ca="1">IF(N(U148)=0,0,VLOOKUP(U148,Hraci!$A$1:$I$1500,9,0))</f>
        <v>0</v>
      </c>
      <c r="AA148" s="455" t="str">
        <f t="shared" ca="1" si="74"/>
        <v/>
      </c>
      <c r="AB148" s="456" t="str">
        <f ca="1">IF(N(AA148)&gt;0,VLOOKUP(AA148,Hraci!$A$1:$I$1500,2,0)," ")</f>
        <v xml:space="preserve"> </v>
      </c>
      <c r="AC148" s="457" t="str">
        <f ca="1">IF(N(AA148)&gt;0,VLOOKUP(AA148,Hraci!$A$1:$I$1500,3,0)," ")</f>
        <v xml:space="preserve"> </v>
      </c>
      <c r="AD148" s="457" t="str">
        <f ca="1">IF(N(AA148)&gt;0,VLOOKUP(AA148,Hraci!$A$1:$I$1500,5,0)," ")</f>
        <v xml:space="preserve"> </v>
      </c>
      <c r="AE148" s="395">
        <f ca="1">IF(N(AA148)=0,9999,VLOOKUP(AA148,Hraci!$A$1:$I$1500,8,0))</f>
        <v>9999</v>
      </c>
      <c r="AF148" s="458">
        <f ca="1">IF(N(AA148)=0,0,VLOOKUP(AA148,Hraci!$A$1:$I$1500,9,0))</f>
        <v>0</v>
      </c>
      <c r="AG148" s="459"/>
      <c r="AH148" s="465">
        <f ca="1">IF(TYPE(VLOOKUP(H148,Nasazení!$A$3:$E$130,5,0))&lt;4,VLOOKUP(H148,Nasazení!$A$3:$E$130,5,0),0)</f>
        <v>0</v>
      </c>
      <c r="AI148" s="460" t="str">
        <f ca="1">IF(N($AH148)&gt;0,VLOOKUP($AH148,Body!$A$4:$F$259,5,0),"")</f>
        <v/>
      </c>
      <c r="AJ148" s="461" t="str">
        <f ca="1">IF(N($AH148)&gt;0,VLOOKUP($AH148,Body!$A$4:$F$259,6,0),"")</f>
        <v/>
      </c>
      <c r="AK148" s="460" t="str">
        <f ca="1">IF(N($AH148)&gt;0,VLOOKUP($AH148,Body!$A$4:$F$259,2,0),"")</f>
        <v/>
      </c>
      <c r="AL148" s="462" t="str">
        <f t="shared" ca="1" si="61"/>
        <v/>
      </c>
      <c r="AM148" s="463">
        <f t="shared" ca="1" si="62"/>
        <v>0</v>
      </c>
      <c r="AN148" s="395">
        <f ca="1">IF(OR(TYPE(I148)&gt;1,TYPE(MATCH(I148,I$139:I149,0))&gt;1),0,MATCH(I148,I$139:I149,0))+IF(OR(TYPE(I148)&gt;1,TYPE(MATCH(I148,O$11:O$139,0))&gt;1),0,MATCH(I148,O$11:O$139,0))+IF(OR(TYPE(I148)&gt;1,TYPE(MATCH(I148,U$11:U$139,0))&gt;1),0,MATCH(I148,U$11:U$139,0))+IF(OR(TYPE(I148)&gt;1,TYPE(MATCH(I148,AA$11:AA$139,0))&gt;1),0,MATCH(I148,AA$11:AA$139,0))</f>
        <v>0</v>
      </c>
      <c r="AO148" s="395">
        <f ca="1">IF(OR(TYPE(O148)&gt;1,TYPE(MATCH(O148,I$11:I$139,0))&gt;1),0,MATCH(O148,I$11:I$139,0))+IF(OR(TYPE(O148)&gt;1,TYPE(MATCH(O148,O$139:O149,0))&gt;1),0,MATCH(O148,O$139:O149,0))+IF(OR(TYPE(O148)&gt;1,TYPE(MATCH(O148,U$11:U$139,0))&gt;1),0,MATCH(O148,U$11:U$139,0))+IF(OR(TYPE(O148)&gt;1,TYPE(MATCH(O148,AA$11:AA$139,0))&gt;1),0,MATCH(O148,AA$11:AA$139,0))</f>
        <v>0</v>
      </c>
      <c r="AP148" s="395">
        <f ca="1">IF(OR(TYPE(U148)&gt;1,TYPE(MATCH(U148,I$11:I$139,0))&gt;1),0,MATCH(U148,I$11:I$139,0))+IF(OR(TYPE(U148)&gt;1,TYPE(MATCH(U148,O$11:O$139,0))&gt;1),0,MATCH(U148,O$11:O$139,0))+IF(OR(TYPE(U148)&gt;1,TYPE(MATCH(U148,U$139:U149,0))&gt;1),0,MATCH(U148,U$139:U149,0))+IF(OR(TYPE(U148)&gt;1,TYPE(MATCH(U148,AA$11:AA$139,0))&gt;1),0,MATCH(U148,AA$11:AA$139,0))</f>
        <v>0</v>
      </c>
      <c r="AQ148" s="395">
        <f ca="1">IF(OR(TYPE(AA148)&gt;1,TYPE(MATCH(AA148,I$11:I$139,0))&gt;1),0,MATCH(AA148,I$11:I$139,0))+IF(OR(TYPE(AA148)&gt;1,TYPE(MATCH(AA148,O$11:O$139,0))&gt;1),0,MATCH(AA148,O$11:O$139,0))+IF(OR(TYPE(AA148)&gt;1,TYPE(MATCH(AA148,U$11:U$139,0))&gt;1),0,MATCH(U148,U$11:U$139,0))+IF(OR(TYPE(AA148)&gt;1,TYPE(MATCH(AA148,AA$139:AA149,0))&gt;1),0,MATCH(AA148,AA$139:AA149,0))</f>
        <v>0</v>
      </c>
      <c r="AR148" s="395">
        <f t="shared" ca="1" si="64"/>
        <v>0</v>
      </c>
    </row>
  </sheetData>
  <sheetProtection password="CA1B" sheet="1" formatCells="0" formatColumns="0" formatRows="0"/>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59871</xdr:colOff>
                    <xdr:row>5</xdr:row>
                    <xdr:rowOff>201386</xdr:rowOff>
                  </from>
                  <to>
                    <xdr:col>17</xdr:col>
                    <xdr:colOff>326571</xdr:colOff>
                    <xdr:row>8</xdr:row>
                    <xdr:rowOff>125186</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List56"/>
  <dimension ref="A1:I8"/>
  <sheetViews>
    <sheetView workbookViewId="0"/>
  </sheetViews>
  <sheetFormatPr defaultRowHeight="12"/>
  <cols>
    <col min="1" max="1" width="8.1640625" customWidth="1"/>
    <col min="2" max="2" width="11" customWidth="1"/>
    <col min="5" max="5" width="11.4140625" customWidth="1"/>
  </cols>
  <sheetData>
    <row r="1" spans="1:9" ht="12.45" thickBot="1">
      <c r="A1" s="119" t="s">
        <v>311</v>
      </c>
      <c r="B1" s="120"/>
      <c r="C1" s="120"/>
      <c r="D1" s="120"/>
      <c r="E1" s="120"/>
    </row>
    <row r="2" spans="1:9" ht="12.45" thickBot="1"/>
    <row r="3" spans="1:9" ht="31.2" customHeight="1" thickTop="1" thickBot="1">
      <c r="A3" s="294" t="s">
        <v>308</v>
      </c>
      <c r="B3" s="295" t="s">
        <v>309</v>
      </c>
      <c r="C3" s="296" t="s">
        <v>310</v>
      </c>
      <c r="D3" s="298">
        <f ca="1">MAX(D4:D8)</f>
        <v>6</v>
      </c>
      <c r="E3" s="297" t="s">
        <v>314</v>
      </c>
      <c r="F3" s="299">
        <f ca="1">Start.listina!$K$7</f>
        <v>59</v>
      </c>
      <c r="G3" s="299"/>
      <c r="I3" s="299"/>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6</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
  <cols>
    <col min="1" max="1" width="3.4140625" customWidth="1"/>
    <col min="2" max="2" width="6.58203125" customWidth="1"/>
    <col min="3" max="3" width="6.4140625" bestFit="1" customWidth="1"/>
    <col min="4" max="4" width="7.4140625" customWidth="1"/>
    <col min="5" max="5" width="10.58203125" customWidth="1"/>
    <col min="6" max="6" width="7.4140625" customWidth="1"/>
    <col min="7" max="7" width="7.4140625" hidden="1" customWidth="1"/>
    <col min="8" max="8" width="11" customWidth="1"/>
    <col min="9" max="9" width="9.1640625" customWidth="1"/>
    <col min="10" max="10" width="11" customWidth="1"/>
    <col min="11" max="11" width="7.1640625" bestFit="1" customWidth="1"/>
    <col min="12" max="12" width="9.1640625" customWidth="1"/>
    <col min="13" max="13" width="15" bestFit="1" customWidth="1"/>
    <col min="14" max="14" width="22.25" bestFit="1" customWidth="1"/>
  </cols>
  <sheetData>
    <row r="1" spans="2:16" ht="20.149999999999999">
      <c r="B1" s="317" t="s">
        <v>5</v>
      </c>
      <c r="N1" s="318"/>
      <c r="O1" s="2"/>
      <c r="P1" s="2"/>
    </row>
    <row r="2" spans="2:16" ht="12.45" thickBot="1"/>
    <row r="3" spans="2:16" ht="12.45" thickBot="1">
      <c r="B3" s="2"/>
      <c r="C3" s="319" t="s">
        <v>347</v>
      </c>
      <c r="D3" s="320"/>
      <c r="E3" s="320"/>
      <c r="F3" s="320"/>
      <c r="G3" s="320"/>
      <c r="H3" s="320"/>
      <c r="I3" s="321"/>
      <c r="J3" s="322"/>
    </row>
    <row r="4" spans="2:16" ht="51" customHeight="1" thickBot="1">
      <c r="B4" s="323" t="s">
        <v>348</v>
      </c>
      <c r="C4" s="324" t="s">
        <v>349</v>
      </c>
      <c r="D4" s="325" t="s">
        <v>350</v>
      </c>
      <c r="E4" s="325" t="s">
        <v>351</v>
      </c>
      <c r="F4" s="325" t="s">
        <v>352</v>
      </c>
      <c r="G4" s="325" t="s">
        <v>353</v>
      </c>
      <c r="H4" s="326" t="s">
        <v>354</v>
      </c>
      <c r="I4" s="327" t="s">
        <v>355</v>
      </c>
      <c r="J4" s="322"/>
    </row>
    <row r="5" spans="2:16" ht="13.3">
      <c r="B5" s="328">
        <v>12</v>
      </c>
      <c r="C5" s="329">
        <v>4</v>
      </c>
      <c r="D5" s="329">
        <v>3</v>
      </c>
      <c r="E5" s="329">
        <v>4</v>
      </c>
      <c r="F5" s="2">
        <f>C5-E5</f>
        <v>0</v>
      </c>
      <c r="G5" s="2">
        <f>E5*D5+F5*(D5-1)</f>
        <v>12</v>
      </c>
      <c r="H5" s="2">
        <f>INT(D5/2)*E5+INT((D5-1)/2)*F5</f>
        <v>4</v>
      </c>
      <c r="I5" s="330">
        <f>C5*2</f>
        <v>8</v>
      </c>
    </row>
    <row r="6" spans="2:16" ht="13.3">
      <c r="B6" s="328">
        <v>13</v>
      </c>
      <c r="C6" s="329">
        <v>4</v>
      </c>
      <c r="D6" s="329">
        <v>4</v>
      </c>
      <c r="E6" s="329">
        <v>1</v>
      </c>
      <c r="F6" s="2">
        <f t="shared" ref="F6:F69" si="0">C6-E6</f>
        <v>3</v>
      </c>
      <c r="G6" s="2">
        <f>E6*D6+F6*(D6-1)</f>
        <v>13</v>
      </c>
      <c r="H6" s="2">
        <f t="shared" ref="H6:H69" si="1">INT(D6/2)*E6+INT((D6-1)/2)*F6</f>
        <v>5</v>
      </c>
      <c r="I6" s="330">
        <f t="shared" ref="I6:I69" si="2">C6*2</f>
        <v>8</v>
      </c>
    </row>
    <row r="7" spans="2:16" ht="13.3">
      <c r="B7" s="328">
        <v>14</v>
      </c>
      <c r="C7" s="329">
        <v>4</v>
      </c>
      <c r="D7" s="329">
        <v>4</v>
      </c>
      <c r="E7" s="329">
        <v>2</v>
      </c>
      <c r="F7" s="2">
        <f t="shared" si="0"/>
        <v>2</v>
      </c>
      <c r="G7" s="2">
        <f t="shared" ref="G7:G70" si="3">E7*D7+F7*(D7-1)</f>
        <v>14</v>
      </c>
      <c r="H7" s="2">
        <f t="shared" si="1"/>
        <v>6</v>
      </c>
      <c r="I7" s="330">
        <f t="shared" si="2"/>
        <v>8</v>
      </c>
    </row>
    <row r="8" spans="2:16" ht="13.3">
      <c r="B8" s="328">
        <v>15</v>
      </c>
      <c r="C8" s="329">
        <v>4</v>
      </c>
      <c r="D8" s="329">
        <v>4</v>
      </c>
      <c r="E8" s="329">
        <v>3</v>
      </c>
      <c r="F8" s="2">
        <f t="shared" si="0"/>
        <v>1</v>
      </c>
      <c r="G8" s="2">
        <f t="shared" si="3"/>
        <v>15</v>
      </c>
      <c r="H8" s="2">
        <f t="shared" si="1"/>
        <v>7</v>
      </c>
      <c r="I8" s="330">
        <f t="shared" si="2"/>
        <v>8</v>
      </c>
    </row>
    <row r="9" spans="2:16" ht="13.3">
      <c r="B9" s="328">
        <v>16</v>
      </c>
      <c r="C9" s="329">
        <v>4</v>
      </c>
      <c r="D9" s="329">
        <v>4</v>
      </c>
      <c r="E9" s="329">
        <v>4</v>
      </c>
      <c r="F9" s="2">
        <f t="shared" si="0"/>
        <v>0</v>
      </c>
      <c r="G9" s="2">
        <f t="shared" si="3"/>
        <v>16</v>
      </c>
      <c r="H9" s="2">
        <f t="shared" si="1"/>
        <v>8</v>
      </c>
      <c r="I9" s="330">
        <f t="shared" si="2"/>
        <v>8</v>
      </c>
    </row>
    <row r="10" spans="2:16" ht="13.3">
      <c r="B10" s="328">
        <v>17</v>
      </c>
      <c r="C10" s="329">
        <v>5</v>
      </c>
      <c r="D10" s="329">
        <v>4</v>
      </c>
      <c r="E10" s="329">
        <v>2</v>
      </c>
      <c r="F10" s="2">
        <f t="shared" si="0"/>
        <v>3</v>
      </c>
      <c r="G10" s="2">
        <f t="shared" si="3"/>
        <v>17</v>
      </c>
      <c r="H10" s="2">
        <f>INT(D10/2)*E10+INT((D10-1)/2)*F10</f>
        <v>7</v>
      </c>
      <c r="I10" s="330">
        <f t="shared" si="2"/>
        <v>10</v>
      </c>
    </row>
    <row r="11" spans="2:16" ht="13.3">
      <c r="B11" s="328">
        <v>18</v>
      </c>
      <c r="C11" s="329">
        <v>6</v>
      </c>
      <c r="D11" s="329">
        <v>3</v>
      </c>
      <c r="E11" s="329">
        <v>6</v>
      </c>
      <c r="F11" s="2">
        <f t="shared" si="0"/>
        <v>0</v>
      </c>
      <c r="G11" s="2">
        <f t="shared" si="3"/>
        <v>18</v>
      </c>
      <c r="H11" s="2">
        <f t="shared" si="1"/>
        <v>6</v>
      </c>
      <c r="I11" s="330">
        <f t="shared" si="2"/>
        <v>12</v>
      </c>
    </row>
    <row r="12" spans="2:16" ht="13.3">
      <c r="B12" s="328">
        <v>19</v>
      </c>
      <c r="C12" s="329">
        <v>6</v>
      </c>
      <c r="D12" s="329">
        <v>4</v>
      </c>
      <c r="E12" s="329">
        <v>1</v>
      </c>
      <c r="F12" s="2">
        <f t="shared" si="0"/>
        <v>5</v>
      </c>
      <c r="G12" s="2">
        <f t="shared" si="3"/>
        <v>19</v>
      </c>
      <c r="H12" s="2">
        <f t="shared" si="1"/>
        <v>7</v>
      </c>
      <c r="I12" s="330">
        <f t="shared" si="2"/>
        <v>12</v>
      </c>
    </row>
    <row r="13" spans="2:16" ht="13.3">
      <c r="B13" s="328">
        <v>20</v>
      </c>
      <c r="C13" s="329">
        <v>6</v>
      </c>
      <c r="D13" s="329">
        <v>4</v>
      </c>
      <c r="E13" s="329">
        <v>2</v>
      </c>
      <c r="F13" s="2">
        <f t="shared" si="0"/>
        <v>4</v>
      </c>
      <c r="G13" s="2">
        <f t="shared" si="3"/>
        <v>20</v>
      </c>
      <c r="H13" s="2">
        <f t="shared" si="1"/>
        <v>8</v>
      </c>
      <c r="I13" s="330">
        <f t="shared" si="2"/>
        <v>12</v>
      </c>
    </row>
    <row r="14" spans="2:16" ht="13.3">
      <c r="B14" s="328">
        <v>21</v>
      </c>
      <c r="C14" s="329">
        <v>6</v>
      </c>
      <c r="D14" s="329">
        <v>4</v>
      </c>
      <c r="E14" s="329">
        <v>3</v>
      </c>
      <c r="F14" s="2">
        <f t="shared" si="0"/>
        <v>3</v>
      </c>
      <c r="G14" s="2">
        <f t="shared" si="3"/>
        <v>21</v>
      </c>
      <c r="H14" s="2">
        <f t="shared" si="1"/>
        <v>9</v>
      </c>
      <c r="I14" s="330">
        <f t="shared" si="2"/>
        <v>12</v>
      </c>
    </row>
    <row r="15" spans="2:16" ht="13.3">
      <c r="B15" s="328">
        <v>22</v>
      </c>
      <c r="C15" s="329">
        <v>6</v>
      </c>
      <c r="D15" s="329">
        <v>4</v>
      </c>
      <c r="E15" s="329">
        <v>4</v>
      </c>
      <c r="F15" s="2">
        <f t="shared" si="0"/>
        <v>2</v>
      </c>
      <c r="G15" s="2">
        <f t="shared" si="3"/>
        <v>22</v>
      </c>
      <c r="H15" s="2">
        <f t="shared" si="1"/>
        <v>10</v>
      </c>
      <c r="I15" s="330">
        <f t="shared" si="2"/>
        <v>12</v>
      </c>
    </row>
    <row r="16" spans="2:16" ht="13.3">
      <c r="B16" s="328">
        <v>23</v>
      </c>
      <c r="C16" s="329">
        <v>6</v>
      </c>
      <c r="D16" s="329">
        <v>4</v>
      </c>
      <c r="E16" s="329">
        <v>5</v>
      </c>
      <c r="F16" s="2">
        <f t="shared" si="0"/>
        <v>1</v>
      </c>
      <c r="G16" s="2">
        <f t="shared" si="3"/>
        <v>23</v>
      </c>
      <c r="H16" s="2">
        <f t="shared" si="1"/>
        <v>11</v>
      </c>
      <c r="I16" s="330">
        <f t="shared" si="2"/>
        <v>12</v>
      </c>
    </row>
    <row r="17" spans="2:9" ht="13.3">
      <c r="B17" s="328">
        <v>24</v>
      </c>
      <c r="C17" s="329">
        <v>8</v>
      </c>
      <c r="D17" s="329">
        <v>3</v>
      </c>
      <c r="E17" s="329">
        <v>8</v>
      </c>
      <c r="F17" s="2">
        <f t="shared" si="0"/>
        <v>0</v>
      </c>
      <c r="G17" s="2">
        <f t="shared" si="3"/>
        <v>24</v>
      </c>
      <c r="H17" s="2">
        <f t="shared" si="1"/>
        <v>8</v>
      </c>
      <c r="I17" s="330">
        <f t="shared" si="2"/>
        <v>16</v>
      </c>
    </row>
    <row r="18" spans="2:9" ht="13.3">
      <c r="B18" s="328">
        <v>25</v>
      </c>
      <c r="C18" s="329">
        <v>8</v>
      </c>
      <c r="D18" s="329">
        <v>4</v>
      </c>
      <c r="E18" s="329">
        <v>1</v>
      </c>
      <c r="F18" s="2">
        <f t="shared" si="0"/>
        <v>7</v>
      </c>
      <c r="G18" s="2">
        <f t="shared" si="3"/>
        <v>25</v>
      </c>
      <c r="H18" s="2">
        <f t="shared" si="1"/>
        <v>9</v>
      </c>
      <c r="I18" s="330">
        <f t="shared" si="2"/>
        <v>16</v>
      </c>
    </row>
    <row r="19" spans="2:9" ht="13.3">
      <c r="B19" s="328">
        <v>26</v>
      </c>
      <c r="C19" s="329">
        <v>8</v>
      </c>
      <c r="D19" s="329">
        <v>4</v>
      </c>
      <c r="E19" s="329">
        <v>2</v>
      </c>
      <c r="F19" s="2">
        <f t="shared" si="0"/>
        <v>6</v>
      </c>
      <c r="G19" s="2">
        <f t="shared" si="3"/>
        <v>26</v>
      </c>
      <c r="H19" s="2">
        <f t="shared" si="1"/>
        <v>10</v>
      </c>
      <c r="I19" s="330">
        <f t="shared" si="2"/>
        <v>16</v>
      </c>
    </row>
    <row r="20" spans="2:9" ht="13.3">
      <c r="B20" s="328">
        <v>27</v>
      </c>
      <c r="C20" s="329">
        <v>8</v>
      </c>
      <c r="D20" s="329">
        <v>4</v>
      </c>
      <c r="E20" s="329">
        <v>3</v>
      </c>
      <c r="F20" s="2">
        <f t="shared" si="0"/>
        <v>5</v>
      </c>
      <c r="G20" s="2">
        <f t="shared" si="3"/>
        <v>27</v>
      </c>
      <c r="H20" s="2">
        <f t="shared" si="1"/>
        <v>11</v>
      </c>
      <c r="I20" s="330">
        <f t="shared" si="2"/>
        <v>16</v>
      </c>
    </row>
    <row r="21" spans="2:9" ht="13.3">
      <c r="B21" s="328">
        <v>28</v>
      </c>
      <c r="C21" s="329">
        <v>8</v>
      </c>
      <c r="D21" s="329">
        <v>4</v>
      </c>
      <c r="E21" s="329">
        <v>4</v>
      </c>
      <c r="F21" s="2">
        <f t="shared" si="0"/>
        <v>4</v>
      </c>
      <c r="G21" s="2">
        <f t="shared" si="3"/>
        <v>28</v>
      </c>
      <c r="H21" s="2">
        <f t="shared" si="1"/>
        <v>12</v>
      </c>
      <c r="I21" s="330">
        <f t="shared" si="2"/>
        <v>16</v>
      </c>
    </row>
    <row r="22" spans="2:9" ht="13.3">
      <c r="B22" s="328">
        <v>29</v>
      </c>
      <c r="C22" s="329">
        <v>8</v>
      </c>
      <c r="D22" s="329">
        <v>4</v>
      </c>
      <c r="E22" s="329">
        <v>5</v>
      </c>
      <c r="F22" s="2">
        <f t="shared" si="0"/>
        <v>3</v>
      </c>
      <c r="G22" s="2">
        <f t="shared" si="3"/>
        <v>29</v>
      </c>
      <c r="H22" s="2">
        <f t="shared" si="1"/>
        <v>13</v>
      </c>
      <c r="I22" s="330">
        <f t="shared" si="2"/>
        <v>16</v>
      </c>
    </row>
    <row r="23" spans="2:9" ht="13.3">
      <c r="B23" s="328">
        <v>30</v>
      </c>
      <c r="C23" s="329">
        <v>8</v>
      </c>
      <c r="D23" s="329">
        <v>4</v>
      </c>
      <c r="E23" s="329">
        <v>6</v>
      </c>
      <c r="F23" s="2">
        <f t="shared" si="0"/>
        <v>2</v>
      </c>
      <c r="G23" s="2">
        <f t="shared" si="3"/>
        <v>30</v>
      </c>
      <c r="H23" s="2">
        <f t="shared" si="1"/>
        <v>14</v>
      </c>
      <c r="I23" s="330">
        <f t="shared" si="2"/>
        <v>16</v>
      </c>
    </row>
    <row r="24" spans="2:9" ht="13.3">
      <c r="B24" s="328">
        <v>31</v>
      </c>
      <c r="C24" s="329">
        <v>8</v>
      </c>
      <c r="D24" s="329">
        <v>4</v>
      </c>
      <c r="E24" s="329">
        <v>7</v>
      </c>
      <c r="F24" s="2">
        <f t="shared" si="0"/>
        <v>1</v>
      </c>
      <c r="G24" s="2">
        <f t="shared" si="3"/>
        <v>31</v>
      </c>
      <c r="H24" s="2">
        <f t="shared" si="1"/>
        <v>15</v>
      </c>
      <c r="I24" s="330">
        <f t="shared" si="2"/>
        <v>16</v>
      </c>
    </row>
    <row r="25" spans="2:9" ht="13.3">
      <c r="B25" s="328">
        <v>32</v>
      </c>
      <c r="C25" s="329">
        <v>8</v>
      </c>
      <c r="D25" s="329">
        <v>4</v>
      </c>
      <c r="E25" s="329">
        <v>8</v>
      </c>
      <c r="F25" s="2">
        <f t="shared" si="0"/>
        <v>0</v>
      </c>
      <c r="G25" s="2">
        <f t="shared" si="3"/>
        <v>32</v>
      </c>
      <c r="H25" s="2">
        <f t="shared" si="1"/>
        <v>16</v>
      </c>
      <c r="I25" s="330">
        <f t="shared" si="2"/>
        <v>16</v>
      </c>
    </row>
    <row r="26" spans="2:9" ht="13.3">
      <c r="B26" s="328">
        <v>33</v>
      </c>
      <c r="C26" s="329">
        <v>9</v>
      </c>
      <c r="D26" s="329">
        <v>4</v>
      </c>
      <c r="E26" s="329">
        <v>6</v>
      </c>
      <c r="F26" s="2">
        <f t="shared" si="0"/>
        <v>3</v>
      </c>
      <c r="G26" s="2">
        <f t="shared" si="3"/>
        <v>33</v>
      </c>
      <c r="H26" s="2">
        <f t="shared" si="1"/>
        <v>15</v>
      </c>
      <c r="I26" s="330">
        <f t="shared" si="2"/>
        <v>18</v>
      </c>
    </row>
    <row r="27" spans="2:9" ht="13.3">
      <c r="B27" s="328">
        <v>34</v>
      </c>
      <c r="C27" s="329">
        <v>9</v>
      </c>
      <c r="D27" s="329">
        <v>4</v>
      </c>
      <c r="E27" s="329">
        <v>7</v>
      </c>
      <c r="F27" s="2">
        <f t="shared" si="0"/>
        <v>2</v>
      </c>
      <c r="G27" s="2">
        <f t="shared" si="3"/>
        <v>34</v>
      </c>
      <c r="H27" s="2">
        <f t="shared" si="1"/>
        <v>16</v>
      </c>
      <c r="I27" s="330">
        <f t="shared" si="2"/>
        <v>18</v>
      </c>
    </row>
    <row r="28" spans="2:9" ht="13.3">
      <c r="B28" s="328">
        <v>35</v>
      </c>
      <c r="C28" s="329">
        <v>9</v>
      </c>
      <c r="D28" s="329">
        <v>4</v>
      </c>
      <c r="E28" s="329">
        <v>8</v>
      </c>
      <c r="F28" s="2">
        <f t="shared" si="0"/>
        <v>1</v>
      </c>
      <c r="G28" s="2">
        <f t="shared" si="3"/>
        <v>35</v>
      </c>
      <c r="H28" s="2">
        <f t="shared" si="1"/>
        <v>17</v>
      </c>
      <c r="I28" s="330">
        <f t="shared" si="2"/>
        <v>18</v>
      </c>
    </row>
    <row r="29" spans="2:9" ht="13.3">
      <c r="B29" s="328">
        <v>36</v>
      </c>
      <c r="C29" s="329">
        <v>12</v>
      </c>
      <c r="D29" s="329">
        <v>3</v>
      </c>
      <c r="E29" s="329">
        <v>12</v>
      </c>
      <c r="F29" s="2">
        <f t="shared" si="0"/>
        <v>0</v>
      </c>
      <c r="G29" s="2">
        <f t="shared" si="3"/>
        <v>36</v>
      </c>
      <c r="H29" s="2">
        <f t="shared" si="1"/>
        <v>12</v>
      </c>
      <c r="I29" s="330">
        <f t="shared" si="2"/>
        <v>24</v>
      </c>
    </row>
    <row r="30" spans="2:9" ht="13.3">
      <c r="B30" s="328">
        <v>37</v>
      </c>
      <c r="C30" s="329">
        <v>12</v>
      </c>
      <c r="D30" s="329">
        <v>4</v>
      </c>
      <c r="E30" s="329">
        <v>1</v>
      </c>
      <c r="F30" s="2">
        <f t="shared" si="0"/>
        <v>11</v>
      </c>
      <c r="G30" s="2">
        <f t="shared" si="3"/>
        <v>37</v>
      </c>
      <c r="H30" s="2">
        <f t="shared" si="1"/>
        <v>13</v>
      </c>
      <c r="I30" s="330">
        <f t="shared" si="2"/>
        <v>24</v>
      </c>
    </row>
    <row r="31" spans="2:9" ht="13.3">
      <c r="B31" s="328">
        <v>38</v>
      </c>
      <c r="C31" s="329">
        <v>12</v>
      </c>
      <c r="D31" s="329">
        <v>4</v>
      </c>
      <c r="E31" s="329">
        <v>2</v>
      </c>
      <c r="F31" s="2">
        <f t="shared" si="0"/>
        <v>10</v>
      </c>
      <c r="G31" s="2">
        <f t="shared" si="3"/>
        <v>38</v>
      </c>
      <c r="H31" s="2">
        <f t="shared" si="1"/>
        <v>14</v>
      </c>
      <c r="I31" s="330">
        <f t="shared" si="2"/>
        <v>24</v>
      </c>
    </row>
    <row r="32" spans="2:9" ht="13.3">
      <c r="B32" s="328">
        <v>39</v>
      </c>
      <c r="C32" s="329">
        <v>12</v>
      </c>
      <c r="D32" s="329">
        <v>4</v>
      </c>
      <c r="E32" s="329">
        <v>3</v>
      </c>
      <c r="F32" s="2">
        <f t="shared" si="0"/>
        <v>9</v>
      </c>
      <c r="G32" s="2">
        <f t="shared" si="3"/>
        <v>39</v>
      </c>
      <c r="H32" s="2">
        <f t="shared" si="1"/>
        <v>15</v>
      </c>
      <c r="I32" s="330">
        <f t="shared" si="2"/>
        <v>24</v>
      </c>
    </row>
    <row r="33" spans="2:9" ht="13.3">
      <c r="B33" s="328">
        <v>40</v>
      </c>
      <c r="C33" s="329">
        <v>12</v>
      </c>
      <c r="D33" s="329">
        <v>4</v>
      </c>
      <c r="E33" s="329">
        <v>4</v>
      </c>
      <c r="F33" s="2">
        <f t="shared" si="0"/>
        <v>8</v>
      </c>
      <c r="G33" s="2">
        <f t="shared" si="3"/>
        <v>40</v>
      </c>
      <c r="H33" s="2">
        <f t="shared" si="1"/>
        <v>16</v>
      </c>
      <c r="I33" s="330">
        <f t="shared" si="2"/>
        <v>24</v>
      </c>
    </row>
    <row r="34" spans="2:9" ht="13.3">
      <c r="B34" s="328">
        <v>41</v>
      </c>
      <c r="C34" s="329">
        <v>12</v>
      </c>
      <c r="D34" s="329">
        <v>4</v>
      </c>
      <c r="E34" s="329">
        <v>5</v>
      </c>
      <c r="F34" s="2">
        <f t="shared" si="0"/>
        <v>7</v>
      </c>
      <c r="G34" s="2">
        <f t="shared" si="3"/>
        <v>41</v>
      </c>
      <c r="H34" s="2">
        <f t="shared" si="1"/>
        <v>17</v>
      </c>
      <c r="I34" s="330">
        <f t="shared" si="2"/>
        <v>24</v>
      </c>
    </row>
    <row r="35" spans="2:9" ht="13.3">
      <c r="B35" s="328">
        <v>42</v>
      </c>
      <c r="C35" s="329">
        <v>12</v>
      </c>
      <c r="D35" s="329">
        <v>4</v>
      </c>
      <c r="E35" s="329">
        <v>6</v>
      </c>
      <c r="F35" s="2">
        <f t="shared" si="0"/>
        <v>6</v>
      </c>
      <c r="G35" s="2">
        <f t="shared" si="3"/>
        <v>42</v>
      </c>
      <c r="H35" s="2">
        <f t="shared" si="1"/>
        <v>18</v>
      </c>
      <c r="I35" s="330">
        <f t="shared" si="2"/>
        <v>24</v>
      </c>
    </row>
    <row r="36" spans="2:9" ht="13.3">
      <c r="B36" s="328">
        <v>43</v>
      </c>
      <c r="C36" s="329">
        <v>12</v>
      </c>
      <c r="D36" s="329">
        <v>4</v>
      </c>
      <c r="E36" s="329">
        <v>7</v>
      </c>
      <c r="F36" s="2">
        <f t="shared" si="0"/>
        <v>5</v>
      </c>
      <c r="G36" s="2">
        <f t="shared" si="3"/>
        <v>43</v>
      </c>
      <c r="H36" s="2">
        <f t="shared" si="1"/>
        <v>19</v>
      </c>
      <c r="I36" s="330">
        <f t="shared" si="2"/>
        <v>24</v>
      </c>
    </row>
    <row r="37" spans="2:9" ht="13.3">
      <c r="B37" s="328">
        <v>44</v>
      </c>
      <c r="C37" s="329">
        <v>12</v>
      </c>
      <c r="D37" s="329">
        <v>4</v>
      </c>
      <c r="E37" s="329">
        <v>8</v>
      </c>
      <c r="F37" s="2">
        <f t="shared" si="0"/>
        <v>4</v>
      </c>
      <c r="G37" s="2">
        <f t="shared" si="3"/>
        <v>44</v>
      </c>
      <c r="H37" s="2">
        <f t="shared" si="1"/>
        <v>20</v>
      </c>
      <c r="I37" s="330">
        <f t="shared" si="2"/>
        <v>24</v>
      </c>
    </row>
    <row r="38" spans="2:9" ht="13.3">
      <c r="B38" s="328">
        <v>45</v>
      </c>
      <c r="C38" s="329">
        <v>12</v>
      </c>
      <c r="D38" s="329">
        <v>4</v>
      </c>
      <c r="E38" s="329">
        <v>9</v>
      </c>
      <c r="F38" s="2">
        <f t="shared" si="0"/>
        <v>3</v>
      </c>
      <c r="G38" s="2">
        <f t="shared" si="3"/>
        <v>45</v>
      </c>
      <c r="H38" s="2">
        <f t="shared" si="1"/>
        <v>21</v>
      </c>
      <c r="I38" s="330">
        <f t="shared" si="2"/>
        <v>24</v>
      </c>
    </row>
    <row r="39" spans="2:9" ht="13.3">
      <c r="B39" s="328">
        <v>46</v>
      </c>
      <c r="C39" s="329">
        <v>12</v>
      </c>
      <c r="D39" s="329">
        <v>4</v>
      </c>
      <c r="E39" s="329">
        <v>10</v>
      </c>
      <c r="F39" s="2">
        <f t="shared" si="0"/>
        <v>2</v>
      </c>
      <c r="G39" s="2">
        <f t="shared" si="3"/>
        <v>46</v>
      </c>
      <c r="H39" s="2">
        <f t="shared" si="1"/>
        <v>22</v>
      </c>
      <c r="I39" s="330">
        <f t="shared" si="2"/>
        <v>24</v>
      </c>
    </row>
    <row r="40" spans="2:9" ht="13.3">
      <c r="B40" s="328">
        <v>47</v>
      </c>
      <c r="C40" s="329">
        <v>12</v>
      </c>
      <c r="D40" s="329">
        <v>4</v>
      </c>
      <c r="E40" s="329">
        <v>11</v>
      </c>
      <c r="F40" s="2">
        <f t="shared" si="0"/>
        <v>1</v>
      </c>
      <c r="G40" s="2">
        <f t="shared" si="3"/>
        <v>47</v>
      </c>
      <c r="H40" s="2">
        <f t="shared" si="1"/>
        <v>23</v>
      </c>
      <c r="I40" s="330">
        <f t="shared" si="2"/>
        <v>24</v>
      </c>
    </row>
    <row r="41" spans="2:9" ht="13.3">
      <c r="B41" s="328">
        <v>48</v>
      </c>
      <c r="C41" s="329">
        <v>16</v>
      </c>
      <c r="D41" s="329">
        <v>3</v>
      </c>
      <c r="E41" s="329">
        <v>16</v>
      </c>
      <c r="F41" s="2">
        <f t="shared" si="0"/>
        <v>0</v>
      </c>
      <c r="G41" s="2">
        <f t="shared" si="3"/>
        <v>48</v>
      </c>
      <c r="H41" s="2">
        <f t="shared" si="1"/>
        <v>16</v>
      </c>
      <c r="I41" s="330">
        <f t="shared" si="2"/>
        <v>32</v>
      </c>
    </row>
    <row r="42" spans="2:9" ht="13.3">
      <c r="B42" s="328">
        <v>49</v>
      </c>
      <c r="C42" s="329">
        <v>16</v>
      </c>
      <c r="D42" s="329">
        <v>4</v>
      </c>
      <c r="E42" s="329">
        <v>1</v>
      </c>
      <c r="F42" s="2">
        <f t="shared" si="0"/>
        <v>15</v>
      </c>
      <c r="G42" s="2">
        <f t="shared" si="3"/>
        <v>49</v>
      </c>
      <c r="H42" s="2">
        <f t="shared" si="1"/>
        <v>17</v>
      </c>
      <c r="I42" s="330">
        <f t="shared" si="2"/>
        <v>32</v>
      </c>
    </row>
    <row r="43" spans="2:9" ht="13.3">
      <c r="B43" s="328">
        <v>50</v>
      </c>
      <c r="C43" s="329">
        <v>16</v>
      </c>
      <c r="D43" s="329">
        <v>4</v>
      </c>
      <c r="E43" s="329">
        <v>2</v>
      </c>
      <c r="F43" s="2">
        <f t="shared" si="0"/>
        <v>14</v>
      </c>
      <c r="G43" s="2">
        <f t="shared" si="3"/>
        <v>50</v>
      </c>
      <c r="H43" s="2">
        <f t="shared" si="1"/>
        <v>18</v>
      </c>
      <c r="I43" s="330">
        <f t="shared" si="2"/>
        <v>32</v>
      </c>
    </row>
    <row r="44" spans="2:9" ht="13.3">
      <c r="B44" s="328">
        <v>51</v>
      </c>
      <c r="C44" s="329">
        <v>16</v>
      </c>
      <c r="D44" s="329">
        <v>4</v>
      </c>
      <c r="E44" s="329">
        <v>3</v>
      </c>
      <c r="F44" s="2">
        <f t="shared" si="0"/>
        <v>13</v>
      </c>
      <c r="G44" s="2">
        <f t="shared" si="3"/>
        <v>51</v>
      </c>
      <c r="H44" s="2">
        <f t="shared" si="1"/>
        <v>19</v>
      </c>
      <c r="I44" s="330">
        <f t="shared" si="2"/>
        <v>32</v>
      </c>
    </row>
    <row r="45" spans="2:9" ht="13.3">
      <c r="B45" s="328">
        <v>52</v>
      </c>
      <c r="C45" s="329">
        <v>16</v>
      </c>
      <c r="D45" s="329">
        <v>4</v>
      </c>
      <c r="E45" s="329">
        <v>4</v>
      </c>
      <c r="F45" s="2">
        <f t="shared" si="0"/>
        <v>12</v>
      </c>
      <c r="G45" s="2">
        <f t="shared" si="3"/>
        <v>52</v>
      </c>
      <c r="H45" s="2">
        <f t="shared" si="1"/>
        <v>20</v>
      </c>
      <c r="I45" s="330">
        <f t="shared" si="2"/>
        <v>32</v>
      </c>
    </row>
    <row r="46" spans="2:9" ht="13.3">
      <c r="B46" s="328">
        <v>53</v>
      </c>
      <c r="C46" s="329">
        <v>16</v>
      </c>
      <c r="D46" s="329">
        <v>4</v>
      </c>
      <c r="E46" s="329">
        <v>5</v>
      </c>
      <c r="F46" s="2">
        <f t="shared" si="0"/>
        <v>11</v>
      </c>
      <c r="G46" s="2">
        <f t="shared" si="3"/>
        <v>53</v>
      </c>
      <c r="H46" s="2">
        <f t="shared" si="1"/>
        <v>21</v>
      </c>
      <c r="I46" s="330">
        <f t="shared" si="2"/>
        <v>32</v>
      </c>
    </row>
    <row r="47" spans="2:9" ht="13.3">
      <c r="B47" s="328">
        <v>54</v>
      </c>
      <c r="C47" s="329">
        <v>16</v>
      </c>
      <c r="D47" s="329">
        <v>4</v>
      </c>
      <c r="E47" s="329">
        <v>6</v>
      </c>
      <c r="F47" s="2">
        <f t="shared" si="0"/>
        <v>10</v>
      </c>
      <c r="G47" s="2">
        <f t="shared" si="3"/>
        <v>54</v>
      </c>
      <c r="H47" s="2">
        <f t="shared" si="1"/>
        <v>22</v>
      </c>
      <c r="I47" s="330">
        <f t="shared" si="2"/>
        <v>32</v>
      </c>
    </row>
    <row r="48" spans="2:9" ht="13.3">
      <c r="B48" s="328">
        <v>55</v>
      </c>
      <c r="C48" s="329">
        <v>16</v>
      </c>
      <c r="D48" s="329">
        <v>4</v>
      </c>
      <c r="E48" s="329">
        <v>7</v>
      </c>
      <c r="F48" s="2">
        <f t="shared" si="0"/>
        <v>9</v>
      </c>
      <c r="G48" s="2">
        <f t="shared" si="3"/>
        <v>55</v>
      </c>
      <c r="H48" s="2">
        <f t="shared" si="1"/>
        <v>23</v>
      </c>
      <c r="I48" s="330">
        <f t="shared" si="2"/>
        <v>32</v>
      </c>
    </row>
    <row r="49" spans="2:9" ht="13.3">
      <c r="B49" s="328">
        <v>56</v>
      </c>
      <c r="C49" s="329">
        <v>16</v>
      </c>
      <c r="D49" s="329">
        <v>4</v>
      </c>
      <c r="E49" s="329">
        <v>8</v>
      </c>
      <c r="F49" s="2">
        <f t="shared" si="0"/>
        <v>8</v>
      </c>
      <c r="G49" s="2">
        <f t="shared" si="3"/>
        <v>56</v>
      </c>
      <c r="H49" s="2">
        <f t="shared" si="1"/>
        <v>24</v>
      </c>
      <c r="I49" s="330">
        <f t="shared" si="2"/>
        <v>32</v>
      </c>
    </row>
    <row r="50" spans="2:9" ht="13.3">
      <c r="B50" s="328">
        <v>57</v>
      </c>
      <c r="C50" s="329">
        <v>16</v>
      </c>
      <c r="D50" s="329">
        <v>4</v>
      </c>
      <c r="E50" s="329">
        <v>9</v>
      </c>
      <c r="F50" s="2">
        <f t="shared" si="0"/>
        <v>7</v>
      </c>
      <c r="G50" s="2">
        <f t="shared" si="3"/>
        <v>57</v>
      </c>
      <c r="H50" s="2">
        <f t="shared" si="1"/>
        <v>25</v>
      </c>
      <c r="I50" s="330">
        <f t="shared" si="2"/>
        <v>32</v>
      </c>
    </row>
    <row r="51" spans="2:9" ht="13.3">
      <c r="B51" s="328">
        <v>58</v>
      </c>
      <c r="C51" s="329">
        <v>16</v>
      </c>
      <c r="D51" s="329">
        <v>4</v>
      </c>
      <c r="E51" s="329">
        <v>10</v>
      </c>
      <c r="F51" s="2">
        <f t="shared" si="0"/>
        <v>6</v>
      </c>
      <c r="G51" s="2">
        <f t="shared" si="3"/>
        <v>58</v>
      </c>
      <c r="H51" s="2">
        <f t="shared" si="1"/>
        <v>26</v>
      </c>
      <c r="I51" s="330">
        <f t="shared" si="2"/>
        <v>32</v>
      </c>
    </row>
    <row r="52" spans="2:9" ht="13.3">
      <c r="B52" s="328">
        <v>59</v>
      </c>
      <c r="C52" s="329">
        <v>16</v>
      </c>
      <c r="D52" s="329">
        <v>4</v>
      </c>
      <c r="E52" s="329">
        <v>11</v>
      </c>
      <c r="F52" s="2">
        <f t="shared" si="0"/>
        <v>5</v>
      </c>
      <c r="G52" s="2">
        <f t="shared" si="3"/>
        <v>59</v>
      </c>
      <c r="H52" s="2">
        <f t="shared" si="1"/>
        <v>27</v>
      </c>
      <c r="I52" s="330">
        <f t="shared" si="2"/>
        <v>32</v>
      </c>
    </row>
    <row r="53" spans="2:9" ht="13.3">
      <c r="B53" s="328">
        <v>60</v>
      </c>
      <c r="C53" s="329">
        <v>16</v>
      </c>
      <c r="D53" s="329">
        <v>4</v>
      </c>
      <c r="E53" s="329">
        <v>12</v>
      </c>
      <c r="F53" s="2">
        <f t="shared" si="0"/>
        <v>4</v>
      </c>
      <c r="G53" s="2">
        <f t="shared" si="3"/>
        <v>60</v>
      </c>
      <c r="H53" s="2">
        <f t="shared" si="1"/>
        <v>28</v>
      </c>
      <c r="I53" s="330">
        <f t="shared" si="2"/>
        <v>32</v>
      </c>
    </row>
    <row r="54" spans="2:9" ht="13.3">
      <c r="B54" s="328">
        <v>61</v>
      </c>
      <c r="C54" s="329">
        <v>16</v>
      </c>
      <c r="D54" s="329">
        <v>4</v>
      </c>
      <c r="E54" s="329">
        <v>13</v>
      </c>
      <c r="F54" s="2">
        <f t="shared" si="0"/>
        <v>3</v>
      </c>
      <c r="G54" s="2">
        <f t="shared" si="3"/>
        <v>61</v>
      </c>
      <c r="H54" s="2">
        <f t="shared" si="1"/>
        <v>29</v>
      </c>
      <c r="I54" s="330">
        <f t="shared" si="2"/>
        <v>32</v>
      </c>
    </row>
    <row r="55" spans="2:9" ht="13.3">
      <c r="B55" s="328">
        <v>62</v>
      </c>
      <c r="C55" s="329">
        <v>16</v>
      </c>
      <c r="D55" s="329">
        <v>4</v>
      </c>
      <c r="E55" s="329">
        <v>14</v>
      </c>
      <c r="F55" s="2">
        <f t="shared" si="0"/>
        <v>2</v>
      </c>
      <c r="G55" s="2">
        <f t="shared" si="3"/>
        <v>62</v>
      </c>
      <c r="H55" s="2">
        <f t="shared" si="1"/>
        <v>30</v>
      </c>
      <c r="I55" s="330">
        <f t="shared" si="2"/>
        <v>32</v>
      </c>
    </row>
    <row r="56" spans="2:9" ht="13.3">
      <c r="B56" s="328">
        <v>63</v>
      </c>
      <c r="C56" s="329">
        <v>16</v>
      </c>
      <c r="D56" s="329">
        <v>4</v>
      </c>
      <c r="E56" s="329">
        <v>15</v>
      </c>
      <c r="F56" s="2">
        <f t="shared" si="0"/>
        <v>1</v>
      </c>
      <c r="G56" s="2">
        <f t="shared" si="3"/>
        <v>63</v>
      </c>
      <c r="H56" s="2">
        <f t="shared" si="1"/>
        <v>31</v>
      </c>
      <c r="I56" s="330">
        <f t="shared" si="2"/>
        <v>32</v>
      </c>
    </row>
    <row r="57" spans="2:9" ht="13.3">
      <c r="B57" s="328">
        <v>64</v>
      </c>
      <c r="C57" s="329">
        <v>16</v>
      </c>
      <c r="D57" s="329">
        <v>4</v>
      </c>
      <c r="E57" s="329">
        <v>16</v>
      </c>
      <c r="F57" s="2">
        <f t="shared" si="0"/>
        <v>0</v>
      </c>
      <c r="G57" s="2">
        <f t="shared" si="3"/>
        <v>64</v>
      </c>
      <c r="H57" s="2">
        <f t="shared" si="1"/>
        <v>32</v>
      </c>
      <c r="I57" s="330">
        <f t="shared" si="2"/>
        <v>32</v>
      </c>
    </row>
    <row r="58" spans="2:9" ht="13.3">
      <c r="B58" s="328">
        <v>65</v>
      </c>
      <c r="C58" s="329">
        <v>17</v>
      </c>
      <c r="D58" s="329">
        <v>4</v>
      </c>
      <c r="E58" s="329">
        <v>14</v>
      </c>
      <c r="F58" s="2">
        <f t="shared" si="0"/>
        <v>3</v>
      </c>
      <c r="G58" s="2">
        <f t="shared" si="3"/>
        <v>65</v>
      </c>
      <c r="H58" s="2">
        <f t="shared" si="1"/>
        <v>31</v>
      </c>
      <c r="I58" s="330">
        <f t="shared" si="2"/>
        <v>34</v>
      </c>
    </row>
    <row r="59" spans="2:9" ht="13.3">
      <c r="B59" s="328">
        <v>66</v>
      </c>
      <c r="C59" s="329">
        <v>17</v>
      </c>
      <c r="D59" s="329">
        <v>4</v>
      </c>
      <c r="E59" s="329">
        <v>15</v>
      </c>
      <c r="F59" s="2">
        <f t="shared" si="0"/>
        <v>2</v>
      </c>
      <c r="G59" s="2">
        <f t="shared" si="3"/>
        <v>66</v>
      </c>
      <c r="H59" s="2">
        <f t="shared" si="1"/>
        <v>32</v>
      </c>
      <c r="I59" s="330">
        <f t="shared" si="2"/>
        <v>34</v>
      </c>
    </row>
    <row r="60" spans="2:9" ht="13.3">
      <c r="B60" s="328">
        <v>67</v>
      </c>
      <c r="C60" s="329">
        <v>17</v>
      </c>
      <c r="D60" s="329">
        <v>4</v>
      </c>
      <c r="E60" s="329">
        <v>16</v>
      </c>
      <c r="F60" s="2">
        <f t="shared" si="0"/>
        <v>1</v>
      </c>
      <c r="G60" s="2">
        <f t="shared" si="3"/>
        <v>67</v>
      </c>
      <c r="H60" s="2">
        <f t="shared" si="1"/>
        <v>33</v>
      </c>
      <c r="I60" s="330">
        <f t="shared" si="2"/>
        <v>34</v>
      </c>
    </row>
    <row r="61" spans="2:9" ht="13.3">
      <c r="B61" s="328">
        <v>68</v>
      </c>
      <c r="C61" s="329">
        <v>17</v>
      </c>
      <c r="D61" s="329">
        <v>4</v>
      </c>
      <c r="E61" s="329">
        <v>17</v>
      </c>
      <c r="F61" s="2">
        <f t="shared" si="0"/>
        <v>0</v>
      </c>
      <c r="G61" s="2">
        <f t="shared" si="3"/>
        <v>68</v>
      </c>
      <c r="H61" s="2">
        <f t="shared" si="1"/>
        <v>34</v>
      </c>
      <c r="I61" s="330">
        <f t="shared" si="2"/>
        <v>34</v>
      </c>
    </row>
    <row r="62" spans="2:9" ht="13.3">
      <c r="B62" s="328">
        <v>69</v>
      </c>
      <c r="C62" s="329">
        <v>18</v>
      </c>
      <c r="D62" s="329">
        <v>4</v>
      </c>
      <c r="E62" s="329">
        <v>15</v>
      </c>
      <c r="F62" s="2">
        <f t="shared" si="0"/>
        <v>3</v>
      </c>
      <c r="G62" s="2">
        <f t="shared" si="3"/>
        <v>69</v>
      </c>
      <c r="H62" s="2">
        <f t="shared" si="1"/>
        <v>33</v>
      </c>
      <c r="I62" s="330">
        <f t="shared" si="2"/>
        <v>36</v>
      </c>
    </row>
    <row r="63" spans="2:9" ht="13.3">
      <c r="B63" s="328">
        <v>70</v>
      </c>
      <c r="C63" s="329">
        <v>18</v>
      </c>
      <c r="D63" s="329">
        <v>4</v>
      </c>
      <c r="E63" s="329">
        <v>16</v>
      </c>
      <c r="F63" s="2">
        <f t="shared" si="0"/>
        <v>2</v>
      </c>
      <c r="G63" s="2">
        <f t="shared" si="3"/>
        <v>70</v>
      </c>
      <c r="H63" s="2">
        <f t="shared" si="1"/>
        <v>34</v>
      </c>
      <c r="I63" s="330">
        <f t="shared" si="2"/>
        <v>36</v>
      </c>
    </row>
    <row r="64" spans="2:9" ht="13.3">
      <c r="B64" s="328">
        <v>71</v>
      </c>
      <c r="C64" s="329">
        <v>18</v>
      </c>
      <c r="D64" s="329">
        <v>4</v>
      </c>
      <c r="E64" s="329">
        <v>17</v>
      </c>
      <c r="F64" s="2">
        <f t="shared" si="0"/>
        <v>1</v>
      </c>
      <c r="G64" s="2">
        <f t="shared" si="3"/>
        <v>71</v>
      </c>
      <c r="H64" s="2">
        <f t="shared" si="1"/>
        <v>35</v>
      </c>
      <c r="I64" s="330">
        <f t="shared" si="2"/>
        <v>36</v>
      </c>
    </row>
    <row r="65" spans="2:9" ht="13.3">
      <c r="B65" s="328">
        <v>72</v>
      </c>
      <c r="C65" s="329">
        <v>24</v>
      </c>
      <c r="D65" s="329">
        <v>3</v>
      </c>
      <c r="E65" s="329">
        <v>24</v>
      </c>
      <c r="F65" s="2">
        <f t="shared" si="0"/>
        <v>0</v>
      </c>
      <c r="G65" s="2">
        <f t="shared" si="3"/>
        <v>72</v>
      </c>
      <c r="H65" s="2">
        <f t="shared" si="1"/>
        <v>24</v>
      </c>
      <c r="I65" s="330">
        <f t="shared" si="2"/>
        <v>48</v>
      </c>
    </row>
    <row r="66" spans="2:9" ht="13.3">
      <c r="B66" s="328">
        <v>73</v>
      </c>
      <c r="C66" s="329">
        <v>24</v>
      </c>
      <c r="D66" s="329">
        <v>4</v>
      </c>
      <c r="E66" s="329">
        <v>1</v>
      </c>
      <c r="F66" s="2">
        <f t="shared" si="0"/>
        <v>23</v>
      </c>
      <c r="G66" s="2">
        <f t="shared" si="3"/>
        <v>73</v>
      </c>
      <c r="H66" s="2">
        <f t="shared" si="1"/>
        <v>25</v>
      </c>
      <c r="I66" s="330">
        <f t="shared" si="2"/>
        <v>48</v>
      </c>
    </row>
    <row r="67" spans="2:9" ht="13.3">
      <c r="B67" s="328">
        <v>74</v>
      </c>
      <c r="C67" s="329">
        <v>24</v>
      </c>
      <c r="D67" s="329">
        <v>4</v>
      </c>
      <c r="E67" s="329">
        <v>2</v>
      </c>
      <c r="F67" s="2">
        <f t="shared" si="0"/>
        <v>22</v>
      </c>
      <c r="G67" s="2">
        <f t="shared" si="3"/>
        <v>74</v>
      </c>
      <c r="H67" s="2">
        <f t="shared" si="1"/>
        <v>26</v>
      </c>
      <c r="I67" s="330">
        <f t="shared" si="2"/>
        <v>48</v>
      </c>
    </row>
    <row r="68" spans="2:9" ht="13.3">
      <c r="B68" s="328">
        <v>75</v>
      </c>
      <c r="C68" s="329">
        <v>24</v>
      </c>
      <c r="D68" s="329">
        <v>4</v>
      </c>
      <c r="E68" s="329">
        <v>3</v>
      </c>
      <c r="F68" s="2">
        <f t="shared" si="0"/>
        <v>21</v>
      </c>
      <c r="G68" s="2">
        <f t="shared" si="3"/>
        <v>75</v>
      </c>
      <c r="H68" s="2">
        <f t="shared" si="1"/>
        <v>27</v>
      </c>
      <c r="I68" s="330">
        <f t="shared" si="2"/>
        <v>48</v>
      </c>
    </row>
    <row r="69" spans="2:9" ht="13.3">
      <c r="B69" s="328">
        <v>76</v>
      </c>
      <c r="C69" s="329">
        <v>24</v>
      </c>
      <c r="D69" s="329">
        <v>4</v>
      </c>
      <c r="E69" s="329">
        <v>4</v>
      </c>
      <c r="F69" s="2">
        <f t="shared" si="0"/>
        <v>20</v>
      </c>
      <c r="G69" s="2">
        <f t="shared" si="3"/>
        <v>76</v>
      </c>
      <c r="H69" s="2">
        <f t="shared" si="1"/>
        <v>28</v>
      </c>
      <c r="I69" s="330">
        <f t="shared" si="2"/>
        <v>48</v>
      </c>
    </row>
    <row r="70" spans="2:9" ht="13.3">
      <c r="B70" s="328">
        <v>77</v>
      </c>
      <c r="C70" s="329">
        <v>24</v>
      </c>
      <c r="D70" s="329">
        <v>4</v>
      </c>
      <c r="E70" s="329">
        <v>5</v>
      </c>
      <c r="F70" s="2">
        <f t="shared" ref="F70:F121" si="4">C70-E70</f>
        <v>19</v>
      </c>
      <c r="G70" s="2">
        <f t="shared" si="3"/>
        <v>77</v>
      </c>
      <c r="H70" s="2">
        <f t="shared" ref="H70:H121" si="5">INT(D70/2)*E70+INT((D70-1)/2)*F70</f>
        <v>29</v>
      </c>
      <c r="I70" s="330">
        <f t="shared" ref="I70:I121" si="6">C70*2</f>
        <v>48</v>
      </c>
    </row>
    <row r="71" spans="2:9" ht="13.3">
      <c r="B71" s="328">
        <v>78</v>
      </c>
      <c r="C71" s="329">
        <v>24</v>
      </c>
      <c r="D71" s="329">
        <v>4</v>
      </c>
      <c r="E71" s="329">
        <v>6</v>
      </c>
      <c r="F71" s="2">
        <f t="shared" si="4"/>
        <v>18</v>
      </c>
      <c r="G71" s="2">
        <f t="shared" ref="G71:G121" si="7">E71*D71+F71*(D71-1)</f>
        <v>78</v>
      </c>
      <c r="H71" s="2">
        <f t="shared" si="5"/>
        <v>30</v>
      </c>
      <c r="I71" s="330">
        <f t="shared" si="6"/>
        <v>48</v>
      </c>
    </row>
    <row r="72" spans="2:9" ht="13.3">
      <c r="B72" s="328">
        <v>79</v>
      </c>
      <c r="C72" s="329">
        <v>24</v>
      </c>
      <c r="D72" s="329">
        <v>4</v>
      </c>
      <c r="E72" s="329">
        <v>7</v>
      </c>
      <c r="F72" s="2">
        <f t="shared" si="4"/>
        <v>17</v>
      </c>
      <c r="G72" s="2">
        <f t="shared" si="7"/>
        <v>79</v>
      </c>
      <c r="H72" s="2">
        <f t="shared" si="5"/>
        <v>31</v>
      </c>
      <c r="I72" s="330">
        <f t="shared" si="6"/>
        <v>48</v>
      </c>
    </row>
    <row r="73" spans="2:9" ht="13.3">
      <c r="B73" s="328">
        <v>80</v>
      </c>
      <c r="C73" s="329">
        <v>24</v>
      </c>
      <c r="D73" s="329">
        <v>4</v>
      </c>
      <c r="E73" s="329">
        <v>8</v>
      </c>
      <c r="F73" s="2">
        <f t="shared" si="4"/>
        <v>16</v>
      </c>
      <c r="G73" s="2">
        <f t="shared" si="7"/>
        <v>80</v>
      </c>
      <c r="H73" s="2">
        <f t="shared" si="5"/>
        <v>32</v>
      </c>
      <c r="I73" s="330">
        <f t="shared" si="6"/>
        <v>48</v>
      </c>
    </row>
    <row r="74" spans="2:9" ht="13.3">
      <c r="B74" s="328">
        <v>81</v>
      </c>
      <c r="C74" s="329">
        <v>24</v>
      </c>
      <c r="D74" s="329">
        <v>4</v>
      </c>
      <c r="E74" s="329">
        <v>9</v>
      </c>
      <c r="F74" s="2">
        <f t="shared" si="4"/>
        <v>15</v>
      </c>
      <c r="G74" s="2">
        <f t="shared" si="7"/>
        <v>81</v>
      </c>
      <c r="H74" s="2">
        <f t="shared" si="5"/>
        <v>33</v>
      </c>
      <c r="I74" s="330">
        <f t="shared" si="6"/>
        <v>48</v>
      </c>
    </row>
    <row r="75" spans="2:9" ht="13.3">
      <c r="B75" s="328">
        <v>82</v>
      </c>
      <c r="C75" s="329">
        <v>24</v>
      </c>
      <c r="D75" s="329">
        <v>4</v>
      </c>
      <c r="E75" s="329">
        <v>10</v>
      </c>
      <c r="F75" s="2">
        <f t="shared" si="4"/>
        <v>14</v>
      </c>
      <c r="G75" s="2">
        <f t="shared" si="7"/>
        <v>82</v>
      </c>
      <c r="H75" s="2">
        <f t="shared" si="5"/>
        <v>34</v>
      </c>
      <c r="I75" s="330">
        <f t="shared" si="6"/>
        <v>48</v>
      </c>
    </row>
    <row r="76" spans="2:9" ht="13.3">
      <c r="B76" s="328">
        <v>83</v>
      </c>
      <c r="C76" s="329">
        <v>24</v>
      </c>
      <c r="D76" s="329">
        <v>4</v>
      </c>
      <c r="E76" s="329">
        <v>11</v>
      </c>
      <c r="F76" s="2">
        <f t="shared" si="4"/>
        <v>13</v>
      </c>
      <c r="G76" s="2">
        <f t="shared" si="7"/>
        <v>83</v>
      </c>
      <c r="H76" s="2">
        <f t="shared" si="5"/>
        <v>35</v>
      </c>
      <c r="I76" s="330">
        <f t="shared" si="6"/>
        <v>48</v>
      </c>
    </row>
    <row r="77" spans="2:9" ht="13.3">
      <c r="B77" s="328">
        <v>84</v>
      </c>
      <c r="C77" s="329">
        <v>24</v>
      </c>
      <c r="D77" s="329">
        <v>4</v>
      </c>
      <c r="E77" s="329">
        <v>12</v>
      </c>
      <c r="F77" s="2">
        <f t="shared" si="4"/>
        <v>12</v>
      </c>
      <c r="G77" s="2">
        <f t="shared" si="7"/>
        <v>84</v>
      </c>
      <c r="H77" s="2">
        <f t="shared" si="5"/>
        <v>36</v>
      </c>
      <c r="I77" s="330">
        <f t="shared" si="6"/>
        <v>48</v>
      </c>
    </row>
    <row r="78" spans="2:9" ht="13.3">
      <c r="B78" s="328">
        <v>85</v>
      </c>
      <c r="C78" s="329">
        <v>24</v>
      </c>
      <c r="D78" s="329">
        <v>4</v>
      </c>
      <c r="E78" s="329">
        <v>13</v>
      </c>
      <c r="F78" s="2">
        <f t="shared" si="4"/>
        <v>11</v>
      </c>
      <c r="G78" s="2">
        <f t="shared" si="7"/>
        <v>85</v>
      </c>
      <c r="H78" s="2">
        <f t="shared" si="5"/>
        <v>37</v>
      </c>
      <c r="I78" s="330">
        <f t="shared" si="6"/>
        <v>48</v>
      </c>
    </row>
    <row r="79" spans="2:9" ht="13.3">
      <c r="B79" s="328">
        <v>86</v>
      </c>
      <c r="C79" s="329">
        <v>24</v>
      </c>
      <c r="D79" s="329">
        <v>4</v>
      </c>
      <c r="E79" s="329">
        <v>14</v>
      </c>
      <c r="F79" s="2">
        <f t="shared" si="4"/>
        <v>10</v>
      </c>
      <c r="G79" s="2">
        <f t="shared" si="7"/>
        <v>86</v>
      </c>
      <c r="H79" s="2">
        <f t="shared" si="5"/>
        <v>38</v>
      </c>
      <c r="I79" s="330">
        <f t="shared" si="6"/>
        <v>48</v>
      </c>
    </row>
    <row r="80" spans="2:9" ht="13.3">
      <c r="B80" s="328">
        <v>87</v>
      </c>
      <c r="C80" s="329">
        <v>24</v>
      </c>
      <c r="D80" s="329">
        <v>4</v>
      </c>
      <c r="E80" s="329">
        <v>15</v>
      </c>
      <c r="F80" s="2">
        <f t="shared" si="4"/>
        <v>9</v>
      </c>
      <c r="G80" s="2">
        <f t="shared" si="7"/>
        <v>87</v>
      </c>
      <c r="H80" s="2">
        <f t="shared" si="5"/>
        <v>39</v>
      </c>
      <c r="I80" s="330">
        <f t="shared" si="6"/>
        <v>48</v>
      </c>
    </row>
    <row r="81" spans="2:9" ht="13.3">
      <c r="B81" s="328">
        <v>88</v>
      </c>
      <c r="C81" s="329">
        <v>24</v>
      </c>
      <c r="D81" s="329">
        <v>4</v>
      </c>
      <c r="E81" s="329">
        <v>16</v>
      </c>
      <c r="F81" s="2">
        <f t="shared" si="4"/>
        <v>8</v>
      </c>
      <c r="G81" s="2">
        <f t="shared" si="7"/>
        <v>88</v>
      </c>
      <c r="H81" s="2">
        <f t="shared" si="5"/>
        <v>40</v>
      </c>
      <c r="I81" s="330">
        <f t="shared" si="6"/>
        <v>48</v>
      </c>
    </row>
    <row r="82" spans="2:9" ht="13.3">
      <c r="B82" s="328">
        <v>89</v>
      </c>
      <c r="C82" s="329">
        <v>24</v>
      </c>
      <c r="D82" s="329">
        <v>4</v>
      </c>
      <c r="E82" s="329">
        <v>17</v>
      </c>
      <c r="F82" s="2">
        <f t="shared" si="4"/>
        <v>7</v>
      </c>
      <c r="G82" s="2">
        <f t="shared" si="7"/>
        <v>89</v>
      </c>
      <c r="H82" s="2">
        <f t="shared" si="5"/>
        <v>41</v>
      </c>
      <c r="I82" s="330">
        <f t="shared" si="6"/>
        <v>48</v>
      </c>
    </row>
    <row r="83" spans="2:9" ht="13.3">
      <c r="B83" s="328">
        <v>90</v>
      </c>
      <c r="C83" s="329">
        <v>24</v>
      </c>
      <c r="D83" s="329">
        <v>4</v>
      </c>
      <c r="E83" s="329">
        <v>18</v>
      </c>
      <c r="F83" s="2">
        <f t="shared" si="4"/>
        <v>6</v>
      </c>
      <c r="G83" s="2">
        <f t="shared" si="7"/>
        <v>90</v>
      </c>
      <c r="H83" s="2">
        <f t="shared" si="5"/>
        <v>42</v>
      </c>
      <c r="I83" s="330">
        <f t="shared" si="6"/>
        <v>48</v>
      </c>
    </row>
    <row r="84" spans="2:9" ht="13.3">
      <c r="B84" s="328">
        <v>91</v>
      </c>
      <c r="C84" s="329">
        <v>24</v>
      </c>
      <c r="D84" s="329">
        <v>4</v>
      </c>
      <c r="E84" s="329">
        <v>19</v>
      </c>
      <c r="F84" s="2">
        <f t="shared" si="4"/>
        <v>5</v>
      </c>
      <c r="G84" s="2">
        <f t="shared" si="7"/>
        <v>91</v>
      </c>
      <c r="H84" s="2">
        <f t="shared" si="5"/>
        <v>43</v>
      </c>
      <c r="I84" s="330">
        <f t="shared" si="6"/>
        <v>48</v>
      </c>
    </row>
    <row r="85" spans="2:9" ht="13.3">
      <c r="B85" s="328">
        <v>92</v>
      </c>
      <c r="C85" s="329">
        <v>24</v>
      </c>
      <c r="D85" s="329">
        <v>4</v>
      </c>
      <c r="E85" s="329">
        <v>20</v>
      </c>
      <c r="F85" s="2">
        <f t="shared" si="4"/>
        <v>4</v>
      </c>
      <c r="G85" s="2">
        <f t="shared" si="7"/>
        <v>92</v>
      </c>
      <c r="H85" s="2">
        <f t="shared" si="5"/>
        <v>44</v>
      </c>
      <c r="I85" s="330">
        <f t="shared" si="6"/>
        <v>48</v>
      </c>
    </row>
    <row r="86" spans="2:9" ht="13.3">
      <c r="B86" s="328">
        <v>93</v>
      </c>
      <c r="C86" s="329">
        <v>24</v>
      </c>
      <c r="D86" s="329">
        <v>4</v>
      </c>
      <c r="E86" s="329">
        <v>21</v>
      </c>
      <c r="F86" s="2">
        <f t="shared" si="4"/>
        <v>3</v>
      </c>
      <c r="G86" s="2">
        <f t="shared" si="7"/>
        <v>93</v>
      </c>
      <c r="H86" s="2">
        <f t="shared" si="5"/>
        <v>45</v>
      </c>
      <c r="I86" s="330">
        <f t="shared" si="6"/>
        <v>48</v>
      </c>
    </row>
    <row r="87" spans="2:9" ht="13.3">
      <c r="B87" s="328">
        <v>94</v>
      </c>
      <c r="C87" s="329">
        <v>24</v>
      </c>
      <c r="D87" s="329">
        <v>4</v>
      </c>
      <c r="E87" s="329">
        <v>22</v>
      </c>
      <c r="F87" s="2">
        <f t="shared" si="4"/>
        <v>2</v>
      </c>
      <c r="G87" s="2">
        <f t="shared" si="7"/>
        <v>94</v>
      </c>
      <c r="H87" s="2">
        <f t="shared" si="5"/>
        <v>46</v>
      </c>
      <c r="I87" s="330">
        <f t="shared" si="6"/>
        <v>48</v>
      </c>
    </row>
    <row r="88" spans="2:9" ht="13.3">
      <c r="B88" s="328">
        <v>95</v>
      </c>
      <c r="C88" s="329">
        <v>24</v>
      </c>
      <c r="D88" s="329">
        <v>4</v>
      </c>
      <c r="E88" s="329">
        <v>23</v>
      </c>
      <c r="F88" s="2">
        <f t="shared" si="4"/>
        <v>1</v>
      </c>
      <c r="G88" s="2">
        <f t="shared" si="7"/>
        <v>95</v>
      </c>
      <c r="H88" s="2">
        <f t="shared" si="5"/>
        <v>47</v>
      </c>
      <c r="I88" s="330">
        <f t="shared" si="6"/>
        <v>48</v>
      </c>
    </row>
    <row r="89" spans="2:9" ht="13.3">
      <c r="B89" s="328">
        <v>96</v>
      </c>
      <c r="C89" s="329">
        <v>32</v>
      </c>
      <c r="D89" s="329">
        <v>3</v>
      </c>
      <c r="E89" s="329">
        <v>32</v>
      </c>
      <c r="F89" s="2">
        <f t="shared" si="4"/>
        <v>0</v>
      </c>
      <c r="G89" s="2">
        <f t="shared" si="7"/>
        <v>96</v>
      </c>
      <c r="H89" s="2">
        <f t="shared" si="5"/>
        <v>32</v>
      </c>
      <c r="I89" s="330">
        <f t="shared" si="6"/>
        <v>64</v>
      </c>
    </row>
    <row r="90" spans="2:9" ht="13.3">
      <c r="B90" s="328">
        <v>97</v>
      </c>
      <c r="C90" s="329">
        <v>32</v>
      </c>
      <c r="D90" s="329">
        <v>4</v>
      </c>
      <c r="E90" s="329">
        <v>1</v>
      </c>
      <c r="F90" s="2">
        <f t="shared" si="4"/>
        <v>31</v>
      </c>
      <c r="G90" s="2">
        <f t="shared" si="7"/>
        <v>97</v>
      </c>
      <c r="H90" s="2">
        <f t="shared" si="5"/>
        <v>33</v>
      </c>
      <c r="I90" s="330">
        <f t="shared" si="6"/>
        <v>64</v>
      </c>
    </row>
    <row r="91" spans="2:9" ht="13.3">
      <c r="B91" s="328">
        <v>98</v>
      </c>
      <c r="C91" s="329">
        <v>32</v>
      </c>
      <c r="D91" s="329">
        <v>4</v>
      </c>
      <c r="E91" s="329">
        <v>2</v>
      </c>
      <c r="F91" s="2">
        <f t="shared" si="4"/>
        <v>30</v>
      </c>
      <c r="G91" s="2">
        <f t="shared" si="7"/>
        <v>98</v>
      </c>
      <c r="H91" s="2">
        <f t="shared" si="5"/>
        <v>34</v>
      </c>
      <c r="I91" s="330">
        <f t="shared" si="6"/>
        <v>64</v>
      </c>
    </row>
    <row r="92" spans="2:9" ht="13.3">
      <c r="B92" s="328">
        <v>99</v>
      </c>
      <c r="C92" s="329">
        <v>32</v>
      </c>
      <c r="D92" s="329">
        <v>4</v>
      </c>
      <c r="E92" s="329">
        <v>3</v>
      </c>
      <c r="F92" s="2">
        <f t="shared" si="4"/>
        <v>29</v>
      </c>
      <c r="G92" s="2">
        <f t="shared" si="7"/>
        <v>99</v>
      </c>
      <c r="H92" s="2">
        <f t="shared" si="5"/>
        <v>35</v>
      </c>
      <c r="I92" s="330">
        <f t="shared" si="6"/>
        <v>64</v>
      </c>
    </row>
    <row r="93" spans="2:9" ht="13.3">
      <c r="B93" s="328">
        <v>100</v>
      </c>
      <c r="C93" s="329">
        <v>32</v>
      </c>
      <c r="D93" s="329">
        <v>4</v>
      </c>
      <c r="E93" s="329">
        <v>4</v>
      </c>
      <c r="F93" s="2">
        <f t="shared" si="4"/>
        <v>28</v>
      </c>
      <c r="G93" s="2">
        <f t="shared" si="7"/>
        <v>100</v>
      </c>
      <c r="H93" s="2">
        <f t="shared" si="5"/>
        <v>36</v>
      </c>
      <c r="I93" s="330">
        <f t="shared" si="6"/>
        <v>64</v>
      </c>
    </row>
    <row r="94" spans="2:9" ht="13.3">
      <c r="B94" s="328">
        <v>101</v>
      </c>
      <c r="C94" s="329">
        <v>32</v>
      </c>
      <c r="D94" s="329">
        <v>4</v>
      </c>
      <c r="E94" s="329">
        <v>5</v>
      </c>
      <c r="F94" s="2">
        <f t="shared" si="4"/>
        <v>27</v>
      </c>
      <c r="G94" s="2">
        <f t="shared" si="7"/>
        <v>101</v>
      </c>
      <c r="H94" s="2">
        <f t="shared" si="5"/>
        <v>37</v>
      </c>
      <c r="I94" s="330">
        <f t="shared" si="6"/>
        <v>64</v>
      </c>
    </row>
    <row r="95" spans="2:9" ht="13.3">
      <c r="B95" s="328">
        <v>102</v>
      </c>
      <c r="C95" s="329">
        <v>32</v>
      </c>
      <c r="D95" s="329">
        <v>4</v>
      </c>
      <c r="E95" s="329">
        <v>6</v>
      </c>
      <c r="F95" s="2">
        <f t="shared" si="4"/>
        <v>26</v>
      </c>
      <c r="G95" s="2">
        <f t="shared" si="7"/>
        <v>102</v>
      </c>
      <c r="H95" s="2">
        <f t="shared" si="5"/>
        <v>38</v>
      </c>
      <c r="I95" s="330">
        <f t="shared" si="6"/>
        <v>64</v>
      </c>
    </row>
    <row r="96" spans="2:9" ht="13.3">
      <c r="B96" s="328">
        <v>103</v>
      </c>
      <c r="C96" s="329">
        <v>32</v>
      </c>
      <c r="D96" s="329">
        <v>4</v>
      </c>
      <c r="E96" s="329">
        <v>7</v>
      </c>
      <c r="F96" s="2">
        <f t="shared" si="4"/>
        <v>25</v>
      </c>
      <c r="G96" s="2">
        <f t="shared" si="7"/>
        <v>103</v>
      </c>
      <c r="H96" s="2">
        <f t="shared" si="5"/>
        <v>39</v>
      </c>
      <c r="I96" s="330">
        <f t="shared" si="6"/>
        <v>64</v>
      </c>
    </row>
    <row r="97" spans="2:9" ht="13.3">
      <c r="B97" s="328">
        <v>104</v>
      </c>
      <c r="C97" s="329">
        <v>32</v>
      </c>
      <c r="D97" s="329">
        <v>4</v>
      </c>
      <c r="E97" s="329">
        <v>8</v>
      </c>
      <c r="F97" s="2">
        <f t="shared" si="4"/>
        <v>24</v>
      </c>
      <c r="G97" s="2">
        <f t="shared" si="7"/>
        <v>104</v>
      </c>
      <c r="H97" s="2">
        <f t="shared" si="5"/>
        <v>40</v>
      </c>
      <c r="I97" s="330">
        <f t="shared" si="6"/>
        <v>64</v>
      </c>
    </row>
    <row r="98" spans="2:9" ht="13.3">
      <c r="B98" s="328">
        <v>105</v>
      </c>
      <c r="C98" s="329">
        <v>32</v>
      </c>
      <c r="D98" s="329">
        <v>4</v>
      </c>
      <c r="E98" s="329">
        <v>9</v>
      </c>
      <c r="F98" s="2">
        <f t="shared" si="4"/>
        <v>23</v>
      </c>
      <c r="G98" s="2">
        <f t="shared" si="7"/>
        <v>105</v>
      </c>
      <c r="H98" s="2">
        <f t="shared" si="5"/>
        <v>41</v>
      </c>
      <c r="I98" s="330">
        <f t="shared" si="6"/>
        <v>64</v>
      </c>
    </row>
    <row r="99" spans="2:9" ht="13.3">
      <c r="B99" s="328">
        <v>106</v>
      </c>
      <c r="C99" s="329">
        <v>32</v>
      </c>
      <c r="D99" s="329">
        <v>4</v>
      </c>
      <c r="E99" s="329">
        <v>10</v>
      </c>
      <c r="F99" s="2">
        <f t="shared" si="4"/>
        <v>22</v>
      </c>
      <c r="G99" s="2">
        <f t="shared" si="7"/>
        <v>106</v>
      </c>
      <c r="H99" s="2">
        <f t="shared" si="5"/>
        <v>42</v>
      </c>
      <c r="I99" s="330">
        <f t="shared" si="6"/>
        <v>64</v>
      </c>
    </row>
    <row r="100" spans="2:9" ht="13.3">
      <c r="B100" s="328">
        <v>107</v>
      </c>
      <c r="C100" s="329">
        <v>32</v>
      </c>
      <c r="D100" s="329">
        <v>4</v>
      </c>
      <c r="E100" s="329">
        <v>11</v>
      </c>
      <c r="F100" s="2">
        <f t="shared" si="4"/>
        <v>21</v>
      </c>
      <c r="G100" s="2">
        <f t="shared" si="7"/>
        <v>107</v>
      </c>
      <c r="H100" s="2">
        <f t="shared" si="5"/>
        <v>43</v>
      </c>
      <c r="I100" s="330">
        <f t="shared" si="6"/>
        <v>64</v>
      </c>
    </row>
    <row r="101" spans="2:9" ht="13.3">
      <c r="B101" s="328">
        <v>108</v>
      </c>
      <c r="C101" s="329">
        <v>32</v>
      </c>
      <c r="D101" s="329">
        <v>4</v>
      </c>
      <c r="E101" s="329">
        <v>12</v>
      </c>
      <c r="F101" s="2">
        <f t="shared" si="4"/>
        <v>20</v>
      </c>
      <c r="G101" s="2">
        <f t="shared" si="7"/>
        <v>108</v>
      </c>
      <c r="H101" s="2">
        <f t="shared" si="5"/>
        <v>44</v>
      </c>
      <c r="I101" s="330">
        <f t="shared" si="6"/>
        <v>64</v>
      </c>
    </row>
    <row r="102" spans="2:9" ht="13.3">
      <c r="B102" s="328">
        <v>109</v>
      </c>
      <c r="C102" s="329">
        <v>32</v>
      </c>
      <c r="D102" s="329">
        <v>4</v>
      </c>
      <c r="E102" s="329">
        <v>13</v>
      </c>
      <c r="F102" s="2">
        <f t="shared" si="4"/>
        <v>19</v>
      </c>
      <c r="G102" s="2">
        <f t="shared" si="7"/>
        <v>109</v>
      </c>
      <c r="H102" s="2">
        <f t="shared" si="5"/>
        <v>45</v>
      </c>
      <c r="I102" s="330">
        <f t="shared" si="6"/>
        <v>64</v>
      </c>
    </row>
    <row r="103" spans="2:9" ht="13.3">
      <c r="B103" s="328">
        <v>110</v>
      </c>
      <c r="C103" s="329">
        <v>32</v>
      </c>
      <c r="D103" s="329">
        <v>4</v>
      </c>
      <c r="E103" s="329">
        <v>14</v>
      </c>
      <c r="F103" s="2">
        <f t="shared" si="4"/>
        <v>18</v>
      </c>
      <c r="G103" s="2">
        <f t="shared" si="7"/>
        <v>110</v>
      </c>
      <c r="H103" s="2">
        <f t="shared" si="5"/>
        <v>46</v>
      </c>
      <c r="I103" s="330">
        <f t="shared" si="6"/>
        <v>64</v>
      </c>
    </row>
    <row r="104" spans="2:9" ht="13.3">
      <c r="B104" s="328">
        <v>111</v>
      </c>
      <c r="C104" s="329">
        <v>32</v>
      </c>
      <c r="D104" s="329">
        <v>4</v>
      </c>
      <c r="E104" s="329">
        <v>15</v>
      </c>
      <c r="F104" s="2">
        <f t="shared" si="4"/>
        <v>17</v>
      </c>
      <c r="G104" s="2">
        <f t="shared" si="7"/>
        <v>111</v>
      </c>
      <c r="H104" s="2">
        <f t="shared" si="5"/>
        <v>47</v>
      </c>
      <c r="I104" s="330">
        <f t="shared" si="6"/>
        <v>64</v>
      </c>
    </row>
    <row r="105" spans="2:9" ht="13.3">
      <c r="B105" s="328">
        <v>112</v>
      </c>
      <c r="C105" s="329">
        <v>32</v>
      </c>
      <c r="D105" s="329">
        <v>4</v>
      </c>
      <c r="E105" s="329">
        <v>16</v>
      </c>
      <c r="F105" s="2">
        <f t="shared" si="4"/>
        <v>16</v>
      </c>
      <c r="G105" s="2">
        <f t="shared" si="7"/>
        <v>112</v>
      </c>
      <c r="H105" s="2">
        <f t="shared" si="5"/>
        <v>48</v>
      </c>
      <c r="I105" s="330">
        <f t="shared" si="6"/>
        <v>64</v>
      </c>
    </row>
    <row r="106" spans="2:9" ht="13.3">
      <c r="B106" s="328">
        <v>113</v>
      </c>
      <c r="C106" s="329">
        <v>32</v>
      </c>
      <c r="D106" s="329">
        <v>4</v>
      </c>
      <c r="E106" s="329">
        <v>17</v>
      </c>
      <c r="F106" s="2">
        <f t="shared" si="4"/>
        <v>15</v>
      </c>
      <c r="G106" s="2">
        <f t="shared" si="7"/>
        <v>113</v>
      </c>
      <c r="H106" s="2">
        <f t="shared" si="5"/>
        <v>49</v>
      </c>
      <c r="I106" s="330">
        <f t="shared" si="6"/>
        <v>64</v>
      </c>
    </row>
    <row r="107" spans="2:9" ht="13.3">
      <c r="B107" s="328">
        <v>114</v>
      </c>
      <c r="C107" s="329">
        <v>32</v>
      </c>
      <c r="D107" s="329">
        <v>4</v>
      </c>
      <c r="E107" s="329">
        <v>18</v>
      </c>
      <c r="F107" s="2">
        <f t="shared" si="4"/>
        <v>14</v>
      </c>
      <c r="G107" s="2">
        <f t="shared" si="7"/>
        <v>114</v>
      </c>
      <c r="H107" s="2">
        <f t="shared" si="5"/>
        <v>50</v>
      </c>
      <c r="I107" s="330">
        <f t="shared" si="6"/>
        <v>64</v>
      </c>
    </row>
    <row r="108" spans="2:9" ht="13.3">
      <c r="B108" s="328">
        <v>115</v>
      </c>
      <c r="C108" s="329">
        <v>32</v>
      </c>
      <c r="D108" s="329">
        <v>4</v>
      </c>
      <c r="E108" s="329">
        <v>19</v>
      </c>
      <c r="F108" s="2">
        <f t="shared" si="4"/>
        <v>13</v>
      </c>
      <c r="G108" s="2">
        <f t="shared" si="7"/>
        <v>115</v>
      </c>
      <c r="H108" s="2">
        <f t="shared" si="5"/>
        <v>51</v>
      </c>
      <c r="I108" s="330">
        <f t="shared" si="6"/>
        <v>64</v>
      </c>
    </row>
    <row r="109" spans="2:9" ht="13.3">
      <c r="B109" s="328">
        <v>116</v>
      </c>
      <c r="C109" s="329">
        <v>32</v>
      </c>
      <c r="D109" s="329">
        <v>4</v>
      </c>
      <c r="E109" s="329">
        <v>20</v>
      </c>
      <c r="F109" s="2">
        <f t="shared" si="4"/>
        <v>12</v>
      </c>
      <c r="G109" s="2">
        <f t="shared" si="7"/>
        <v>116</v>
      </c>
      <c r="H109" s="2">
        <f t="shared" si="5"/>
        <v>52</v>
      </c>
      <c r="I109" s="330">
        <f t="shared" si="6"/>
        <v>64</v>
      </c>
    </row>
    <row r="110" spans="2:9" ht="13.3">
      <c r="B110" s="328">
        <v>117</v>
      </c>
      <c r="C110" s="329">
        <v>32</v>
      </c>
      <c r="D110" s="329">
        <v>4</v>
      </c>
      <c r="E110" s="329">
        <v>21</v>
      </c>
      <c r="F110" s="2">
        <f t="shared" si="4"/>
        <v>11</v>
      </c>
      <c r="G110" s="2">
        <f t="shared" si="7"/>
        <v>117</v>
      </c>
      <c r="H110" s="2">
        <f t="shared" si="5"/>
        <v>53</v>
      </c>
      <c r="I110" s="330">
        <f t="shared" si="6"/>
        <v>64</v>
      </c>
    </row>
    <row r="111" spans="2:9" ht="13.3">
      <c r="B111" s="328">
        <v>118</v>
      </c>
      <c r="C111" s="329">
        <v>32</v>
      </c>
      <c r="D111" s="329">
        <v>4</v>
      </c>
      <c r="E111" s="329">
        <v>22</v>
      </c>
      <c r="F111" s="2">
        <f t="shared" si="4"/>
        <v>10</v>
      </c>
      <c r="G111" s="2">
        <f t="shared" si="7"/>
        <v>118</v>
      </c>
      <c r="H111" s="2">
        <f t="shared" si="5"/>
        <v>54</v>
      </c>
      <c r="I111" s="330">
        <f t="shared" si="6"/>
        <v>64</v>
      </c>
    </row>
    <row r="112" spans="2:9" ht="13.3">
      <c r="B112" s="328">
        <v>119</v>
      </c>
      <c r="C112" s="329">
        <v>32</v>
      </c>
      <c r="D112" s="329">
        <v>4</v>
      </c>
      <c r="E112" s="329">
        <v>23</v>
      </c>
      <c r="F112" s="2">
        <f t="shared" si="4"/>
        <v>9</v>
      </c>
      <c r="G112" s="2">
        <f t="shared" si="7"/>
        <v>119</v>
      </c>
      <c r="H112" s="2">
        <f t="shared" si="5"/>
        <v>55</v>
      </c>
      <c r="I112" s="330">
        <f t="shared" si="6"/>
        <v>64</v>
      </c>
    </row>
    <row r="113" spans="2:9" ht="13.3">
      <c r="B113" s="328">
        <v>120</v>
      </c>
      <c r="C113" s="329">
        <v>32</v>
      </c>
      <c r="D113" s="329">
        <v>4</v>
      </c>
      <c r="E113" s="329">
        <v>24</v>
      </c>
      <c r="F113" s="2">
        <f t="shared" si="4"/>
        <v>8</v>
      </c>
      <c r="G113" s="2">
        <f t="shared" si="7"/>
        <v>120</v>
      </c>
      <c r="H113" s="2">
        <f t="shared" si="5"/>
        <v>56</v>
      </c>
      <c r="I113" s="330">
        <f t="shared" si="6"/>
        <v>64</v>
      </c>
    </row>
    <row r="114" spans="2:9" ht="13.3">
      <c r="B114" s="328">
        <v>121</v>
      </c>
      <c r="C114" s="329">
        <v>32</v>
      </c>
      <c r="D114" s="329">
        <v>4</v>
      </c>
      <c r="E114" s="329">
        <v>25</v>
      </c>
      <c r="F114" s="2">
        <f t="shared" si="4"/>
        <v>7</v>
      </c>
      <c r="G114" s="2">
        <f t="shared" si="7"/>
        <v>121</v>
      </c>
      <c r="H114" s="2">
        <f t="shared" si="5"/>
        <v>57</v>
      </c>
      <c r="I114" s="330">
        <f t="shared" si="6"/>
        <v>64</v>
      </c>
    </row>
    <row r="115" spans="2:9" ht="13.3">
      <c r="B115" s="328">
        <v>122</v>
      </c>
      <c r="C115" s="329">
        <v>32</v>
      </c>
      <c r="D115" s="329">
        <v>4</v>
      </c>
      <c r="E115" s="329">
        <v>26</v>
      </c>
      <c r="F115" s="2">
        <f t="shared" si="4"/>
        <v>6</v>
      </c>
      <c r="G115" s="2">
        <f t="shared" si="7"/>
        <v>122</v>
      </c>
      <c r="H115" s="2">
        <f t="shared" si="5"/>
        <v>58</v>
      </c>
      <c r="I115" s="330">
        <f t="shared" si="6"/>
        <v>64</v>
      </c>
    </row>
    <row r="116" spans="2:9" ht="13.3">
      <c r="B116" s="328">
        <v>123</v>
      </c>
      <c r="C116" s="329">
        <v>32</v>
      </c>
      <c r="D116" s="329">
        <v>4</v>
      </c>
      <c r="E116" s="329">
        <v>27</v>
      </c>
      <c r="F116" s="2">
        <f t="shared" si="4"/>
        <v>5</v>
      </c>
      <c r="G116" s="2">
        <f t="shared" si="7"/>
        <v>123</v>
      </c>
      <c r="H116" s="2">
        <f t="shared" si="5"/>
        <v>59</v>
      </c>
      <c r="I116" s="330">
        <f t="shared" si="6"/>
        <v>64</v>
      </c>
    </row>
    <row r="117" spans="2:9" ht="13.3">
      <c r="B117" s="328">
        <v>124</v>
      </c>
      <c r="C117" s="329">
        <v>32</v>
      </c>
      <c r="D117" s="329">
        <v>4</v>
      </c>
      <c r="E117" s="329">
        <v>28</v>
      </c>
      <c r="F117" s="2">
        <f t="shared" si="4"/>
        <v>4</v>
      </c>
      <c r="G117" s="2">
        <f t="shared" si="7"/>
        <v>124</v>
      </c>
      <c r="H117" s="2">
        <f t="shared" si="5"/>
        <v>60</v>
      </c>
      <c r="I117" s="330">
        <f t="shared" si="6"/>
        <v>64</v>
      </c>
    </row>
    <row r="118" spans="2:9" ht="13.3">
      <c r="B118" s="328">
        <v>125</v>
      </c>
      <c r="C118" s="329">
        <v>32</v>
      </c>
      <c r="D118" s="329">
        <v>4</v>
      </c>
      <c r="E118" s="329">
        <v>29</v>
      </c>
      <c r="F118" s="2">
        <f t="shared" si="4"/>
        <v>3</v>
      </c>
      <c r="G118" s="2">
        <f t="shared" si="7"/>
        <v>125</v>
      </c>
      <c r="H118" s="2">
        <f t="shared" si="5"/>
        <v>61</v>
      </c>
      <c r="I118" s="330">
        <f t="shared" si="6"/>
        <v>64</v>
      </c>
    </row>
    <row r="119" spans="2:9" ht="13.3">
      <c r="B119" s="328">
        <v>126</v>
      </c>
      <c r="C119" s="329">
        <v>32</v>
      </c>
      <c r="D119" s="329">
        <v>4</v>
      </c>
      <c r="E119" s="329">
        <v>30</v>
      </c>
      <c r="F119" s="2">
        <f t="shared" si="4"/>
        <v>2</v>
      </c>
      <c r="G119" s="2">
        <f t="shared" si="7"/>
        <v>126</v>
      </c>
      <c r="H119" s="2">
        <f t="shared" si="5"/>
        <v>62</v>
      </c>
      <c r="I119" s="330">
        <f t="shared" si="6"/>
        <v>64</v>
      </c>
    </row>
    <row r="120" spans="2:9" ht="13.3">
      <c r="B120" s="328">
        <v>127</v>
      </c>
      <c r="C120" s="329">
        <v>32</v>
      </c>
      <c r="D120" s="329">
        <v>4</v>
      </c>
      <c r="E120" s="329">
        <v>31</v>
      </c>
      <c r="F120" s="2">
        <f t="shared" si="4"/>
        <v>1</v>
      </c>
      <c r="G120" s="2">
        <f t="shared" si="7"/>
        <v>127</v>
      </c>
      <c r="H120" s="2">
        <f t="shared" si="5"/>
        <v>63</v>
      </c>
      <c r="I120" s="330">
        <f t="shared" si="6"/>
        <v>64</v>
      </c>
    </row>
    <row r="121" spans="2:9" ht="13.3">
      <c r="B121" s="328">
        <v>128</v>
      </c>
      <c r="C121" s="329">
        <v>32</v>
      </c>
      <c r="D121" s="329">
        <v>4</v>
      </c>
      <c r="E121" s="329">
        <v>32</v>
      </c>
      <c r="F121" s="2">
        <f t="shared" si="4"/>
        <v>0</v>
      </c>
      <c r="G121" s="2">
        <f t="shared" si="7"/>
        <v>128</v>
      </c>
      <c r="H121" s="2">
        <f t="shared" si="5"/>
        <v>64</v>
      </c>
      <c r="I121" s="330">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List35"/>
  <dimension ref="A1:I516"/>
  <sheetViews>
    <sheetView workbookViewId="0">
      <pane ySplit="4" topLeftCell="A5" activePane="bottomLeft" state="frozen"/>
      <selection pane="bottomLeft"/>
    </sheetView>
  </sheetViews>
  <sheetFormatPr defaultRowHeight="12"/>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c r="A1" s="8" t="s">
        <v>127</v>
      </c>
      <c r="B1" s="9"/>
      <c r="C1" s="9"/>
      <c r="D1" s="96"/>
      <c r="E1" s="97"/>
      <c r="F1" s="7"/>
      <c r="G1" s="112">
        <f ca="1">'Kvalita turnaje'!$F$1</f>
        <v>38.074437500000002</v>
      </c>
      <c r="H1" s="124" t="s">
        <v>307</v>
      </c>
      <c r="I1" s="7"/>
    </row>
    <row r="2" spans="1:9" ht="27.75" customHeight="1" thickBot="1">
      <c r="A2" s="98">
        <f>Start.listina!$K$2</f>
        <v>24010</v>
      </c>
      <c r="B2" s="99" t="str">
        <f>Start.listina!$K$4</f>
        <v>MČR 3x3</v>
      </c>
      <c r="C2" s="100"/>
      <c r="D2" s="101"/>
      <c r="E2" s="12" t="str">
        <f>Start.listina!$K$3</f>
        <v>01.06.2024</v>
      </c>
      <c r="G2" s="163">
        <f ca="1">Start.listina!$K$7</f>
        <v>59</v>
      </c>
      <c r="H2" s="124" t="s">
        <v>306</v>
      </c>
      <c r="I2" s="7"/>
    </row>
    <row r="3" spans="1:9" ht="21.75" customHeight="1" thickBot="1">
      <c r="A3" s="7"/>
      <c r="B3" s="7"/>
      <c r="C3" s="7"/>
      <c r="D3" s="7"/>
      <c r="E3" s="7"/>
      <c r="F3" s="7"/>
      <c r="G3" s="7"/>
      <c r="H3" s="7"/>
      <c r="I3" s="7"/>
    </row>
    <row r="4" spans="1:9" ht="24.75" customHeight="1" thickBot="1">
      <c r="A4" s="311" t="s">
        <v>128</v>
      </c>
      <c r="B4" s="310" t="s">
        <v>58</v>
      </c>
      <c r="C4" s="310" t="s">
        <v>129</v>
      </c>
      <c r="D4" s="310" t="s">
        <v>59</v>
      </c>
      <c r="E4" s="310" t="s">
        <v>60</v>
      </c>
      <c r="F4" s="310"/>
      <c r="G4" s="310" t="s">
        <v>131</v>
      </c>
      <c r="H4" s="310" t="s">
        <v>304</v>
      </c>
      <c r="I4" s="312" t="s">
        <v>334</v>
      </c>
    </row>
    <row r="5" spans="1:9">
      <c r="A5" s="14">
        <f ca="1">Start.listina!AH11</f>
        <v>1</v>
      </c>
      <c r="B5" s="14">
        <f ca="1">Start.listina!I11</f>
        <v>21774</v>
      </c>
      <c r="C5" s="14" t="str">
        <f ca="1">Start.listina!J11</f>
        <v>Michálek</v>
      </c>
      <c r="D5" s="14" t="str">
        <f ca="1">Start.listina!K11</f>
        <v>Tomáš</v>
      </c>
      <c r="E5" s="14" t="str">
        <f ca="1">Start.listina!L11</f>
        <v>Carreau Brno</v>
      </c>
      <c r="F5" s="14"/>
      <c r="G5" s="121">
        <f ca="1">IF(N(A5)&gt;0,VLOOKUP(A5,Body!$A$4:$F$259,5,0),"")</f>
        <v>228.44662500000001</v>
      </c>
      <c r="H5" s="7">
        <f ca="1">IF(N(A5)&gt;0,VLOOKUP(A5,Body!$A$4:$F$259,6,0),"")</f>
        <v>0</v>
      </c>
      <c r="I5" s="7">
        <f ca="1">IF(N(A5)&gt;0,VLOOKUP(A5,Body!$A$4:$F$259,2,0),"")</f>
        <v>6</v>
      </c>
    </row>
    <row r="6" spans="1:9">
      <c r="A6" s="14"/>
      <c r="B6" s="14">
        <f ca="1">Start.listina!O11</f>
        <v>11039</v>
      </c>
      <c r="C6" s="14" t="str">
        <f ca="1">Start.listina!P11</f>
        <v>Lukáš</v>
      </c>
      <c r="D6" s="14" t="str">
        <f ca="1">Start.listina!Q11</f>
        <v>Vojtěch</v>
      </c>
      <c r="E6" s="14" t="str">
        <f ca="1">Start.listina!R11</f>
        <v>PLUK Jablonec</v>
      </c>
      <c r="F6" s="14"/>
      <c r="G6" s="121"/>
      <c r="H6" s="7"/>
      <c r="I6" s="7"/>
    </row>
    <row r="7" spans="1:9">
      <c r="A7" s="14"/>
      <c r="B7" s="14">
        <f ca="1">Start.listina!U11</f>
        <v>29062</v>
      </c>
      <c r="C7" s="14" t="str">
        <f ca="1">Start.listina!V11</f>
        <v>Vavrovič ml.</v>
      </c>
      <c r="D7" s="14" t="str">
        <f ca="1">Start.listina!W11</f>
        <v>Petr</v>
      </c>
      <c r="E7" s="14" t="str">
        <f ca="1">Start.listina!X11</f>
        <v>PC Sokol Lipník</v>
      </c>
      <c r="F7" s="14"/>
      <c r="G7" s="121"/>
      <c r="H7" s="7"/>
      <c r="I7" s="7"/>
    </row>
    <row r="8" spans="1:9">
      <c r="A8" s="14"/>
      <c r="B8" s="14" t="str">
        <f ca="1">Start.listina!AA11</f>
        <v/>
      </c>
      <c r="C8" s="14" t="str">
        <f ca="1">Start.listina!AB11</f>
        <v xml:space="preserve"> </v>
      </c>
      <c r="D8" s="14" t="str">
        <f ca="1">Start.listina!AC11</f>
        <v xml:space="preserve"> </v>
      </c>
      <c r="E8" s="14" t="str">
        <f ca="1">Start.listina!AD11</f>
        <v xml:space="preserve"> </v>
      </c>
      <c r="F8" s="14"/>
      <c r="G8" s="121"/>
      <c r="H8" s="7"/>
      <c r="I8" s="7"/>
    </row>
    <row r="9" spans="1:9">
      <c r="A9" s="14">
        <f ca="1">Start.listina!AH12</f>
        <v>14</v>
      </c>
      <c r="B9" s="14">
        <f ca="1">Start.listina!I12</f>
        <v>14075</v>
      </c>
      <c r="C9" s="14" t="str">
        <f ca="1">Start.listina!J12</f>
        <v>Froňková</v>
      </c>
      <c r="D9" s="14" t="str">
        <f ca="1">Start.listina!K12</f>
        <v>Kateřina</v>
      </c>
      <c r="E9" s="14" t="str">
        <f ca="1">Start.listina!L12</f>
        <v>PC Sokol Lipník</v>
      </c>
      <c r="F9" s="14"/>
      <c r="G9" s="121">
        <f ca="1">IF(N(A9)&gt;0,VLOOKUP(A9,Body!$A$4:$F$259,5,0),"")</f>
        <v>85.667484375000001</v>
      </c>
      <c r="H9" s="7">
        <f ca="1">IF(N(A9)&gt;0,VLOOKUP(A9,Body!$A$4:$F$259,6,0),"")</f>
        <v>0</v>
      </c>
      <c r="I9" s="7">
        <f ca="1">IF(N(A9)&gt;0,VLOOKUP(A9,Body!$A$4:$F$259,2,0),"")</f>
        <v>2.25</v>
      </c>
    </row>
    <row r="10" spans="1:9">
      <c r="A10" s="14"/>
      <c r="B10" s="14">
        <f ca="1">Start.listina!O12</f>
        <v>15058</v>
      </c>
      <c r="C10" s="14" t="str">
        <f ca="1">Start.listina!P12</f>
        <v>Zdobinský</v>
      </c>
      <c r="D10" s="14" t="str">
        <f ca="1">Start.listina!Q12</f>
        <v>Michal</v>
      </c>
      <c r="E10" s="14" t="str">
        <f ca="1">Start.listina!R12</f>
        <v>PC Sokol Lipník</v>
      </c>
      <c r="F10" s="14"/>
      <c r="G10" s="121"/>
      <c r="H10" s="7"/>
      <c r="I10" s="7"/>
    </row>
    <row r="11" spans="1:9">
      <c r="A11" s="14"/>
      <c r="B11" s="14">
        <f ca="1">Start.listina!U12</f>
        <v>13064</v>
      </c>
      <c r="C11" s="14" t="str">
        <f ca="1">Start.listina!V12</f>
        <v>Michalička</v>
      </c>
      <c r="D11" s="14" t="str">
        <f ca="1">Start.listina!W12</f>
        <v>Lukáš</v>
      </c>
      <c r="E11" s="14" t="str">
        <f ca="1">Start.listina!X12</f>
        <v>1. KPK Vrchlabí</v>
      </c>
      <c r="F11" s="14"/>
      <c r="G11" s="121"/>
      <c r="H11" s="7"/>
      <c r="I11" s="7"/>
    </row>
    <row r="12" spans="1:9">
      <c r="A12" s="14"/>
      <c r="B12" s="14" t="str">
        <f ca="1">Start.listina!AA12</f>
        <v/>
      </c>
      <c r="C12" s="14" t="str">
        <f ca="1">Start.listina!AB12</f>
        <v xml:space="preserve"> </v>
      </c>
      <c r="D12" s="14" t="str">
        <f ca="1">Start.listina!AC12</f>
        <v xml:space="preserve"> </v>
      </c>
      <c r="E12" s="14" t="str">
        <f ca="1">Start.listina!AD12</f>
        <v xml:space="preserve"> </v>
      </c>
      <c r="F12" s="14"/>
      <c r="G12" s="121"/>
      <c r="H12" s="7"/>
      <c r="I12" s="7"/>
    </row>
    <row r="13" spans="1:9">
      <c r="A13" s="14">
        <f ca="1">Start.listina!AH13</f>
        <v>32</v>
      </c>
      <c r="B13" s="14">
        <f ca="1">Start.listina!I13</f>
        <v>26075</v>
      </c>
      <c r="C13" s="14" t="str">
        <f ca="1">Start.listina!J13</f>
        <v>Konšel</v>
      </c>
      <c r="D13" s="14" t="str">
        <f ca="1">Start.listina!K13</f>
        <v>Jakub</v>
      </c>
      <c r="E13" s="14" t="str">
        <f ca="1">Start.listina!L13</f>
        <v>PC Sokol Lipník</v>
      </c>
      <c r="F13" s="14"/>
      <c r="G13" s="121">
        <f ca="1">IF(N(A13)&gt;0,VLOOKUP(A13,Body!$A$4:$F$259,5,0),"")</f>
        <v>38.074437500000002</v>
      </c>
      <c r="H13" s="7">
        <f ca="1">IF(N(A13)&gt;0,VLOOKUP(A13,Body!$A$4:$F$259,6,0),"")</f>
        <v>0</v>
      </c>
      <c r="I13" s="7">
        <f ca="1">IF(N(A13)&gt;0,VLOOKUP(A13,Body!$A$4:$F$259,2,0),"")</f>
        <v>1</v>
      </c>
    </row>
    <row r="14" spans="1:9">
      <c r="A14" s="14"/>
      <c r="B14" s="14">
        <f ca="1">Start.listina!O13</f>
        <v>99532</v>
      </c>
      <c r="C14" s="14" t="str">
        <f ca="1">Start.listina!P13</f>
        <v>Michálek</v>
      </c>
      <c r="D14" s="14" t="str">
        <f ca="1">Start.listina!Q13</f>
        <v>Ivo</v>
      </c>
      <c r="E14" s="14" t="str">
        <f ca="1">Start.listina!R13</f>
        <v>Carreau Brno</v>
      </c>
      <c r="F14" s="14"/>
      <c r="G14" s="121"/>
      <c r="H14" s="7"/>
      <c r="I14" s="7"/>
    </row>
    <row r="15" spans="1:9">
      <c r="A15" s="14"/>
      <c r="B15" s="14">
        <f ca="1">Start.listina!U13</f>
        <v>21775</v>
      </c>
      <c r="C15" s="14" t="str">
        <f ca="1">Start.listina!V13</f>
        <v>Michálek</v>
      </c>
      <c r="D15" s="14" t="str">
        <f ca="1">Start.listina!W13</f>
        <v>Jan</v>
      </c>
      <c r="E15" s="14" t="str">
        <f ca="1">Start.listina!X13</f>
        <v>Carreau Brno</v>
      </c>
      <c r="F15" s="14"/>
      <c r="G15" s="121"/>
      <c r="H15" s="7"/>
      <c r="I15" s="7"/>
    </row>
    <row r="16" spans="1:9">
      <c r="A16" s="14"/>
      <c r="B16" s="14" t="str">
        <f ca="1">Start.listina!AA13</f>
        <v/>
      </c>
      <c r="C16" s="14" t="str">
        <f ca="1">Start.listina!AB13</f>
        <v xml:space="preserve"> </v>
      </c>
      <c r="D16" s="14" t="str">
        <f ca="1">Start.listina!AC13</f>
        <v xml:space="preserve"> </v>
      </c>
      <c r="E16" s="14" t="str">
        <f ca="1">Start.listina!AD13</f>
        <v xml:space="preserve"> </v>
      </c>
      <c r="F16" s="14"/>
      <c r="G16" s="121"/>
      <c r="H16" s="7"/>
      <c r="I16" s="7"/>
    </row>
    <row r="17" spans="1:9">
      <c r="A17" s="14">
        <f ca="1">Start.listina!AH14</f>
        <v>4</v>
      </c>
      <c r="B17" s="14">
        <f ca="1">Start.listina!I14</f>
        <v>22007</v>
      </c>
      <c r="C17" s="14" t="str">
        <f ca="1">Start.listina!J14</f>
        <v>Resl</v>
      </c>
      <c r="D17" s="14" t="str">
        <f ca="1">Start.listina!K14</f>
        <v>Jan</v>
      </c>
      <c r="E17" s="14" t="str">
        <f ca="1">Start.listina!L14</f>
        <v>CdP Loděnice</v>
      </c>
      <c r="F17" s="14"/>
      <c r="G17" s="121">
        <f ca="1">IF(N(A17)&gt;0,VLOOKUP(A17,Body!$A$4:$F$259,5,0),"")</f>
        <v>152.29775000000001</v>
      </c>
      <c r="H17" s="7">
        <f ca="1">IF(N(A17)&gt;0,VLOOKUP(A17,Body!$A$4:$F$259,6,0),"")</f>
        <v>0</v>
      </c>
      <c r="I17" s="7">
        <f ca="1">IF(N(A17)&gt;0,VLOOKUP(A17,Body!$A$4:$F$259,2,0),"")</f>
        <v>4</v>
      </c>
    </row>
    <row r="18" spans="1:9">
      <c r="A18" s="14"/>
      <c r="B18" s="14">
        <f ca="1">Start.listina!O14</f>
        <v>21755</v>
      </c>
      <c r="C18" s="14" t="str">
        <f ca="1">Start.listina!P14</f>
        <v>Valenz</v>
      </c>
      <c r="D18" s="14" t="str">
        <f ca="1">Start.listina!Q14</f>
        <v>Lukáš</v>
      </c>
      <c r="E18" s="14" t="str">
        <f ca="1">Start.listina!R14</f>
        <v>VARAN</v>
      </c>
      <c r="F18" s="14"/>
      <c r="G18" s="121"/>
      <c r="H18" s="7"/>
      <c r="I18" s="7"/>
    </row>
    <row r="19" spans="1:9">
      <c r="A19" s="14"/>
      <c r="B19" s="14">
        <f ca="1">Start.listina!U14</f>
        <v>27039</v>
      </c>
      <c r="C19" s="14" t="str">
        <f ca="1">Start.listina!V14</f>
        <v>Kauca st.</v>
      </c>
      <c r="D19" s="14" t="str">
        <f ca="1">Start.listina!W14</f>
        <v>Jindřich</v>
      </c>
      <c r="E19" s="14" t="str">
        <f ca="1">Start.listina!X14</f>
        <v>PC Přítkov</v>
      </c>
      <c r="F19" s="14"/>
      <c r="G19" s="121"/>
      <c r="H19" s="7"/>
      <c r="I19" s="7"/>
    </row>
    <row r="20" spans="1:9">
      <c r="A20" s="14"/>
      <c r="B20" s="14" t="str">
        <f ca="1">Start.listina!AA14</f>
        <v/>
      </c>
      <c r="C20" s="14" t="str">
        <f ca="1">Start.listina!AB14</f>
        <v xml:space="preserve"> </v>
      </c>
      <c r="D20" s="14" t="str">
        <f ca="1">Start.listina!AC14</f>
        <v xml:space="preserve"> </v>
      </c>
      <c r="E20" s="14" t="str">
        <f ca="1">Start.listina!AD14</f>
        <v xml:space="preserve"> </v>
      </c>
      <c r="F20" s="14"/>
      <c r="G20" s="121"/>
      <c r="H20" s="7"/>
      <c r="I20" s="7"/>
    </row>
    <row r="21" spans="1:9">
      <c r="A21" s="14">
        <f ca="1">Start.listina!AH15</f>
        <v>7</v>
      </c>
      <c r="B21" s="14">
        <f ca="1">Start.listina!I15</f>
        <v>14008</v>
      </c>
      <c r="C21" s="14" t="str">
        <f ca="1">Start.listina!J15</f>
        <v>Bačo</v>
      </c>
      <c r="D21" s="14" t="str">
        <f ca="1">Start.listina!K15</f>
        <v>David</v>
      </c>
      <c r="E21" s="14" t="str">
        <f ca="1">Start.listina!L15</f>
        <v>TOP - ORLOVÁ</v>
      </c>
      <c r="F21" s="14"/>
      <c r="G21" s="121">
        <f ca="1">IF(N(A21)&gt;0,VLOOKUP(A21,Body!$A$4:$F$259,5,0),"")</f>
        <v>123.741921875</v>
      </c>
      <c r="H21" s="7">
        <f ca="1">IF(N(A21)&gt;0,VLOOKUP(A21,Body!$A$4:$F$259,6,0),"")</f>
        <v>0</v>
      </c>
      <c r="I21" s="7">
        <f ca="1">IF(N(A21)&gt;0,VLOOKUP(A21,Body!$A$4:$F$259,2,0),"")</f>
        <v>3.25</v>
      </c>
    </row>
    <row r="22" spans="1:9">
      <c r="A22" s="14"/>
      <c r="B22" s="14">
        <f ca="1">Start.listina!O15</f>
        <v>12020</v>
      </c>
      <c r="C22" s="14" t="str">
        <f ca="1">Start.listina!P15</f>
        <v>Fafek</v>
      </c>
      <c r="D22" s="14" t="str">
        <f ca="1">Start.listina!Q15</f>
        <v>Petr</v>
      </c>
      <c r="E22" s="14" t="str">
        <f ca="1">Start.listina!R15</f>
        <v>PC Sokol Lipník</v>
      </c>
      <c r="F22" s="14"/>
      <c r="G22" s="121"/>
      <c r="H22" s="7"/>
      <c r="I22" s="7"/>
    </row>
    <row r="23" spans="1:9">
      <c r="A23" s="14"/>
      <c r="B23" s="14">
        <f ca="1">Start.listina!U15</f>
        <v>29061</v>
      </c>
      <c r="C23" s="14" t="str">
        <f ca="1">Start.listina!V15</f>
        <v>Vavrovič st.</v>
      </c>
      <c r="D23" s="14" t="str">
        <f ca="1">Start.listina!W15</f>
        <v>Petr</v>
      </c>
      <c r="E23" s="14" t="str">
        <f ca="1">Start.listina!X15</f>
        <v>PC Sokol Lipník</v>
      </c>
      <c r="F23" s="14"/>
      <c r="G23" s="121"/>
      <c r="H23" s="7"/>
      <c r="I23" s="7"/>
    </row>
    <row r="24" spans="1:9">
      <c r="A24" s="14"/>
      <c r="B24" s="14" t="str">
        <f ca="1">Start.listina!AA15</f>
        <v/>
      </c>
      <c r="C24" s="14" t="str">
        <f ca="1">Start.listina!AB15</f>
        <v xml:space="preserve"> </v>
      </c>
      <c r="D24" s="14" t="str">
        <f ca="1">Start.listina!AC15</f>
        <v xml:space="preserve"> </v>
      </c>
      <c r="E24" s="14" t="str">
        <f ca="1">Start.listina!AD15</f>
        <v xml:space="preserve"> </v>
      </c>
      <c r="F24" s="14"/>
      <c r="G24" s="121"/>
      <c r="H24" s="7"/>
      <c r="I24" s="7"/>
    </row>
    <row r="25" spans="1:9">
      <c r="A25" s="14">
        <f ca="1">Start.listina!AH16</f>
        <v>10</v>
      </c>
      <c r="B25" s="14">
        <f ca="1">Start.listina!I16</f>
        <v>13027</v>
      </c>
      <c r="C25" s="14" t="str">
        <f ca="1">Start.listina!J16</f>
        <v>Dlouhá</v>
      </c>
      <c r="D25" s="14" t="str">
        <f ca="1">Start.listina!K16</f>
        <v>Ivana</v>
      </c>
      <c r="E25" s="14" t="str">
        <f ca="1">Start.listina!L16</f>
        <v>CdP Loděnice</v>
      </c>
      <c r="F25" s="14"/>
      <c r="G25" s="121">
        <f ca="1">IF(N(A25)&gt;0,VLOOKUP(A25,Body!$A$4:$F$259,5,0),"")</f>
        <v>104.70470312500001</v>
      </c>
      <c r="H25" s="7">
        <f ca="1">IF(N(A25)&gt;0,VLOOKUP(A25,Body!$A$4:$F$259,6,0),"")</f>
        <v>0</v>
      </c>
      <c r="I25" s="7">
        <f ca="1">IF(N(A25)&gt;0,VLOOKUP(A25,Body!$A$4:$F$259,2,0),"")</f>
        <v>2.75</v>
      </c>
    </row>
    <row r="26" spans="1:9">
      <c r="A26" s="14"/>
      <c r="B26" s="14">
        <f ca="1">Start.listina!O16</f>
        <v>21756</v>
      </c>
      <c r="C26" s="14" t="str">
        <f ca="1">Start.listina!P16</f>
        <v>Tintěrová</v>
      </c>
      <c r="D26" s="14" t="str">
        <f ca="1">Start.listina!Q16</f>
        <v>Kateřina</v>
      </c>
      <c r="E26" s="14" t="str">
        <f ca="1">Start.listina!R16</f>
        <v>VARAN</v>
      </c>
      <c r="F26" s="14"/>
      <c r="G26" s="121"/>
      <c r="H26" s="7"/>
      <c r="I26" s="7"/>
    </row>
    <row r="27" spans="1:9">
      <c r="A27" s="14"/>
      <c r="B27" s="14">
        <f ca="1">Start.listina!U16</f>
        <v>13029</v>
      </c>
      <c r="C27" s="14" t="str">
        <f ca="1">Start.listina!V16</f>
        <v>Kamaryt</v>
      </c>
      <c r="D27" s="14" t="str">
        <f ca="1">Start.listina!W16</f>
        <v>Josef</v>
      </c>
      <c r="E27" s="14" t="str">
        <f ca="1">Start.listina!X16</f>
        <v>CdP Loděnice</v>
      </c>
      <c r="F27" s="14"/>
      <c r="G27" s="121"/>
      <c r="H27" s="7"/>
      <c r="I27" s="7"/>
    </row>
    <row r="28" spans="1:9">
      <c r="A28" s="14"/>
      <c r="B28" s="14" t="str">
        <f ca="1">Start.listina!AA16</f>
        <v/>
      </c>
      <c r="C28" s="14" t="str">
        <f ca="1">Start.listina!AB16</f>
        <v xml:space="preserve"> </v>
      </c>
      <c r="D28" s="14" t="str">
        <f ca="1">Start.listina!AC16</f>
        <v xml:space="preserve"> </v>
      </c>
      <c r="E28" s="14" t="str">
        <f ca="1">Start.listina!AD16</f>
        <v xml:space="preserve"> </v>
      </c>
      <c r="F28" s="14"/>
      <c r="G28" s="121"/>
      <c r="H28" s="7"/>
      <c r="I28" s="7"/>
    </row>
    <row r="29" spans="1:9">
      <c r="A29" s="14">
        <f ca="1">Start.listina!AH17</f>
        <v>6</v>
      </c>
      <c r="B29" s="14">
        <f ca="1">Start.listina!I17</f>
        <v>19019</v>
      </c>
      <c r="C29" s="14" t="str">
        <f ca="1">Start.listina!J17</f>
        <v>Motl</v>
      </c>
      <c r="D29" s="14" t="str">
        <f ca="1">Start.listina!K17</f>
        <v>Bohuslav</v>
      </c>
      <c r="E29" s="14" t="str">
        <f ca="1">Start.listina!L17</f>
        <v>HRODE KRUMSÍN</v>
      </c>
      <c r="F29" s="14"/>
      <c r="G29" s="121">
        <f ca="1">IF(N(A29)&gt;0,VLOOKUP(A29,Body!$A$4:$F$259,5,0),"")</f>
        <v>133.26053125000001</v>
      </c>
      <c r="H29" s="7">
        <f ca="1">IF(N(A29)&gt;0,VLOOKUP(A29,Body!$A$4:$F$259,6,0),"")</f>
        <v>0</v>
      </c>
      <c r="I29" s="7">
        <f ca="1">IF(N(A29)&gt;0,VLOOKUP(A29,Body!$A$4:$F$259,2,0),"")</f>
        <v>3.5</v>
      </c>
    </row>
    <row r="30" spans="1:9">
      <c r="A30" s="14"/>
      <c r="B30" s="14">
        <f ca="1">Start.listina!O17</f>
        <v>99555</v>
      </c>
      <c r="C30" s="14" t="str">
        <f ca="1">Start.listina!P17</f>
        <v>Pírek</v>
      </c>
      <c r="D30" s="14" t="str">
        <f ca="1">Start.listina!Q17</f>
        <v>Martin</v>
      </c>
      <c r="E30" s="14" t="str">
        <f ca="1">Start.listina!R17</f>
        <v>HRODE KRUMSÍN</v>
      </c>
      <c r="F30" s="14"/>
      <c r="G30" s="121"/>
      <c r="H30" s="7"/>
      <c r="I30" s="7"/>
    </row>
    <row r="31" spans="1:9">
      <c r="A31" s="14"/>
      <c r="B31" s="14">
        <f ca="1">Start.listina!U17</f>
        <v>29040</v>
      </c>
      <c r="C31" s="14" t="str">
        <f ca="1">Start.listina!V17</f>
        <v>Krpec</v>
      </c>
      <c r="D31" s="14" t="str">
        <f ca="1">Start.listina!W17</f>
        <v>Miroslav</v>
      </c>
      <c r="E31" s="14" t="str">
        <f ca="1">Start.listina!X17</f>
        <v>HRODE KRUMSÍN</v>
      </c>
      <c r="F31" s="14"/>
      <c r="G31" s="121"/>
      <c r="H31" s="7"/>
      <c r="I31" s="7"/>
    </row>
    <row r="32" spans="1:9">
      <c r="A32" s="14"/>
      <c r="B32" s="14" t="str">
        <f ca="1">Start.listina!AA17</f>
        <v/>
      </c>
      <c r="C32" s="14" t="str">
        <f ca="1">Start.listina!AB17</f>
        <v xml:space="preserve"> </v>
      </c>
      <c r="D32" s="14" t="str">
        <f ca="1">Start.listina!AC17</f>
        <v xml:space="preserve"> </v>
      </c>
      <c r="E32" s="14" t="str">
        <f ca="1">Start.listina!AD17</f>
        <v xml:space="preserve"> </v>
      </c>
      <c r="F32" s="14"/>
      <c r="G32" s="121"/>
      <c r="H32" s="7"/>
      <c r="I32" s="7"/>
    </row>
    <row r="33" spans="1:9">
      <c r="A33" s="14">
        <f ca="1">Start.listina!AH18</f>
        <v>32</v>
      </c>
      <c r="B33" s="14">
        <f ca="1">Start.listina!I18</f>
        <v>15057</v>
      </c>
      <c r="C33" s="14" t="str">
        <f ca="1">Start.listina!J18</f>
        <v>Vedral</v>
      </c>
      <c r="D33" s="14" t="str">
        <f ca="1">Start.listina!K18</f>
        <v>Filip</v>
      </c>
      <c r="E33" s="14" t="str">
        <f ca="1">Start.listina!L18</f>
        <v>1. KPK Vrchlabí</v>
      </c>
      <c r="F33" s="14"/>
      <c r="G33" s="121">
        <f ca="1">IF(N(A33)&gt;0,VLOOKUP(A33,Body!$A$4:$F$259,5,0),"")</f>
        <v>38.074437500000002</v>
      </c>
      <c r="H33" s="7">
        <f ca="1">IF(N(A33)&gt;0,VLOOKUP(A33,Body!$A$4:$F$259,6,0),"")</f>
        <v>0</v>
      </c>
      <c r="I33" s="7">
        <f ca="1">IF(N(A33)&gt;0,VLOOKUP(A33,Body!$A$4:$F$259,2,0),"")</f>
        <v>1</v>
      </c>
    </row>
    <row r="34" spans="1:9">
      <c r="A34" s="14"/>
      <c r="B34" s="14">
        <f ca="1">Start.listina!O18</f>
        <v>22106</v>
      </c>
      <c r="C34" s="14" t="str">
        <f ca="1">Start.listina!P18</f>
        <v>Daněk</v>
      </c>
      <c r="D34" s="14" t="str">
        <f ca="1">Start.listina!Q18</f>
        <v>Patrik</v>
      </c>
      <c r="E34" s="14" t="str">
        <f ca="1">Start.listina!R18</f>
        <v>SLOPE Brno</v>
      </c>
      <c r="F34" s="14"/>
      <c r="G34" s="121"/>
      <c r="H34" s="7"/>
      <c r="I34" s="7"/>
    </row>
    <row r="35" spans="1:9">
      <c r="A35" s="14"/>
      <c r="B35" s="14">
        <f ca="1">Start.listina!U18</f>
        <v>10138</v>
      </c>
      <c r="C35" s="14" t="str">
        <f ca="1">Start.listina!V18</f>
        <v>Hájek ml.</v>
      </c>
      <c r="D35" s="14" t="str">
        <f ca="1">Start.listina!W18</f>
        <v>Martin</v>
      </c>
      <c r="E35" s="14" t="str">
        <f ca="1">Start.listina!X18</f>
        <v>PEK Stolín</v>
      </c>
      <c r="F35" s="14"/>
      <c r="G35" s="121"/>
      <c r="H35" s="7"/>
      <c r="I35" s="7"/>
    </row>
    <row r="36" spans="1:9">
      <c r="A36" s="14"/>
      <c r="B36" s="14">
        <f ca="1">Start.listina!AA18</f>
        <v>16106</v>
      </c>
      <c r="C36" s="14" t="str">
        <f ca="1">Start.listina!AB18</f>
        <v>Konšel</v>
      </c>
      <c r="D36" s="14" t="str">
        <f ca="1">Start.listina!AC18</f>
        <v>Robin</v>
      </c>
      <c r="E36" s="14" t="str">
        <f ca="1">Start.listina!AD18</f>
        <v>HRODE KRUMSÍN</v>
      </c>
      <c r="F36" s="14"/>
      <c r="G36" s="121"/>
      <c r="H36" s="7"/>
      <c r="I36" s="7"/>
    </row>
    <row r="37" spans="1:9">
      <c r="A37" s="14">
        <f>Start.listina!AH19</f>
        <v>48</v>
      </c>
      <c r="B37" s="14">
        <f ca="1">Start.listina!I19</f>
        <v>17067</v>
      </c>
      <c r="C37" s="14" t="str">
        <f ca="1">Start.listina!J19</f>
        <v>Dudašková</v>
      </c>
      <c r="D37" s="14" t="str">
        <f ca="1">Start.listina!K19</f>
        <v>Michaela</v>
      </c>
      <c r="E37" s="14" t="str">
        <f ca="1">Start.listina!L19</f>
        <v>Carreau Brno</v>
      </c>
      <c r="F37" s="14"/>
      <c r="G37" s="121">
        <f ca="1">IF(N(A37)&gt;0,VLOOKUP(A37,Body!$A$4:$F$259,5,0),"")</f>
        <v>19.037218750000001</v>
      </c>
      <c r="H37" s="7">
        <f ca="1">IF(N(A37)&gt;0,VLOOKUP(A37,Body!$A$4:$F$259,6,0),"")</f>
        <v>0</v>
      </c>
      <c r="I37" s="7">
        <f ca="1">IF(N(A37)&gt;0,VLOOKUP(A37,Body!$A$4:$F$259,2,0),"")</f>
        <v>0.5</v>
      </c>
    </row>
    <row r="38" spans="1:9">
      <c r="A38" s="14"/>
      <c r="B38" s="14">
        <f ca="1">Start.listina!O19</f>
        <v>14074</v>
      </c>
      <c r="C38" s="14" t="str">
        <f ca="1">Start.listina!P19</f>
        <v>Froňková</v>
      </c>
      <c r="D38" s="14" t="str">
        <f ca="1">Start.listina!Q19</f>
        <v>Blanka</v>
      </c>
      <c r="E38" s="14" t="str">
        <f ca="1">Start.listina!R19</f>
        <v>PC Sokol Lipník</v>
      </c>
      <c r="F38" s="14"/>
      <c r="G38" s="121"/>
      <c r="H38" s="7"/>
      <c r="I38" s="7"/>
    </row>
    <row r="39" spans="1:9">
      <c r="A39" s="14"/>
      <c r="B39" s="14">
        <f ca="1">Start.listina!U19</f>
        <v>18124</v>
      </c>
      <c r="C39" s="14" t="str">
        <f ca="1">Start.listina!V19</f>
        <v>Valošková</v>
      </c>
      <c r="D39" s="14" t="str">
        <f ca="1">Start.listina!W19</f>
        <v>Sára</v>
      </c>
      <c r="E39" s="14" t="str">
        <f ca="1">Start.listina!X19</f>
        <v>PK Polouvsí</v>
      </c>
      <c r="F39" s="14"/>
      <c r="G39" s="121"/>
      <c r="H39" s="7"/>
      <c r="I39" s="7"/>
    </row>
    <row r="40" spans="1:9">
      <c r="A40" s="14"/>
      <c r="B40" s="14" t="str">
        <f ca="1">Start.listina!AA19</f>
        <v/>
      </c>
      <c r="C40" s="14" t="str">
        <f ca="1">Start.listina!AB19</f>
        <v xml:space="preserve"> </v>
      </c>
      <c r="D40" s="14" t="str">
        <f ca="1">Start.listina!AC19</f>
        <v xml:space="preserve"> </v>
      </c>
      <c r="E40" s="14" t="str">
        <f ca="1">Start.listina!AD19</f>
        <v xml:space="preserve"> </v>
      </c>
      <c r="F40" s="14"/>
      <c r="G40" s="121"/>
      <c r="H40" s="7"/>
      <c r="I40" s="7"/>
    </row>
    <row r="41" spans="1:9">
      <c r="A41" s="14">
        <f>Start.listina!AH20</f>
        <v>48</v>
      </c>
      <c r="B41" s="14">
        <f ca="1">Start.listina!I20</f>
        <v>27030</v>
      </c>
      <c r="C41" s="14" t="str">
        <f ca="1">Start.listina!J20</f>
        <v>Kutá</v>
      </c>
      <c r="D41" s="14" t="str">
        <f ca="1">Start.listina!K20</f>
        <v>Miloslava</v>
      </c>
      <c r="E41" s="14" t="str">
        <f ca="1">Start.listina!L20</f>
        <v>SKP Hranice VI-Valšovice</v>
      </c>
      <c r="F41" s="14"/>
      <c r="G41" s="121">
        <f ca="1">IF(N(A41)&gt;0,VLOOKUP(A41,Body!$A$4:$F$259,5,0),"")</f>
        <v>19.037218750000001</v>
      </c>
      <c r="H41" s="7">
        <f ca="1">IF(N(A41)&gt;0,VLOOKUP(A41,Body!$A$4:$F$259,6,0),"")</f>
        <v>0</v>
      </c>
      <c r="I41" s="7">
        <f ca="1">IF(N(A41)&gt;0,VLOOKUP(A41,Body!$A$4:$F$259,2,0),"")</f>
        <v>0.5</v>
      </c>
    </row>
    <row r="42" spans="1:9">
      <c r="A42" s="14"/>
      <c r="B42" s="14">
        <f ca="1">Start.listina!O20</f>
        <v>28055</v>
      </c>
      <c r="C42" s="14" t="str">
        <f ca="1">Start.listina!P20</f>
        <v>Svobodová</v>
      </c>
      <c r="D42" s="14" t="str">
        <f ca="1">Start.listina!Q20</f>
        <v>Lenka</v>
      </c>
      <c r="E42" s="14" t="str">
        <f ca="1">Start.listina!R20</f>
        <v>SKP Hranice VI-Valšovice</v>
      </c>
      <c r="F42" s="14"/>
      <c r="G42" s="121"/>
      <c r="H42" s="7"/>
      <c r="I42" s="7"/>
    </row>
    <row r="43" spans="1:9">
      <c r="A43" s="14"/>
      <c r="B43" s="14">
        <f ca="1">Start.listina!U20</f>
        <v>28004</v>
      </c>
      <c r="C43" s="14" t="str">
        <f ca="1">Start.listina!V20</f>
        <v>Tománek</v>
      </c>
      <c r="D43" s="14" t="str">
        <f ca="1">Start.listina!W20</f>
        <v>Petr</v>
      </c>
      <c r="E43" s="14" t="str">
        <f ca="1">Start.listina!X20</f>
        <v>SKP Hranice VI-Valšovice</v>
      </c>
      <c r="F43" s="14"/>
      <c r="G43" s="121"/>
      <c r="H43" s="7"/>
      <c r="I43" s="7"/>
    </row>
    <row r="44" spans="1:9">
      <c r="A44" s="14"/>
      <c r="B44" s="14" t="str">
        <f ca="1">Start.listina!AA20</f>
        <v/>
      </c>
      <c r="C44" s="14" t="str">
        <f ca="1">Start.listina!AB20</f>
        <v xml:space="preserve"> </v>
      </c>
      <c r="D44" s="14" t="str">
        <f ca="1">Start.listina!AC20</f>
        <v xml:space="preserve"> </v>
      </c>
      <c r="E44" s="14" t="str">
        <f ca="1">Start.listina!AD20</f>
        <v xml:space="preserve"> </v>
      </c>
      <c r="F44" s="14"/>
      <c r="G44" s="121"/>
      <c r="H44" s="7"/>
      <c r="I44" s="7"/>
    </row>
    <row r="45" spans="1:9">
      <c r="A45" s="14">
        <f ca="1">Start.listina!AH21</f>
        <v>32</v>
      </c>
      <c r="B45" s="14">
        <f ca="1">Start.listina!I21</f>
        <v>22183</v>
      </c>
      <c r="C45" s="14" t="str">
        <f ca="1">Start.listina!J21</f>
        <v>Brandes</v>
      </c>
      <c r="D45" s="14" t="str">
        <f ca="1">Start.listina!K21</f>
        <v>Michael</v>
      </c>
      <c r="E45" s="14" t="str">
        <f ca="1">Start.listina!L21</f>
        <v>PC Damníkov</v>
      </c>
      <c r="F45" s="14"/>
      <c r="G45" s="121">
        <f ca="1">IF(N(A45)&gt;0,VLOOKUP(A45,Body!$A$4:$F$259,5,0),"")</f>
        <v>38.074437500000002</v>
      </c>
      <c r="H45" s="7">
        <f ca="1">IF(N(A45)&gt;0,VLOOKUP(A45,Body!$A$4:$F$259,6,0),"")</f>
        <v>0</v>
      </c>
      <c r="I45" s="7">
        <f ca="1">IF(N(A45)&gt;0,VLOOKUP(A45,Body!$A$4:$F$259,2,0),"")</f>
        <v>1</v>
      </c>
    </row>
    <row r="46" spans="1:9">
      <c r="A46" s="14"/>
      <c r="B46" s="14">
        <f ca="1">Start.listina!O21</f>
        <v>22180</v>
      </c>
      <c r="C46" s="14" t="str">
        <f ca="1">Start.listina!P21</f>
        <v>Čiviš</v>
      </c>
      <c r="D46" s="14" t="str">
        <f ca="1">Start.listina!Q21</f>
        <v>Antonín</v>
      </c>
      <c r="E46" s="14" t="str">
        <f ca="1">Start.listina!R21</f>
        <v>P.C.B.D.</v>
      </c>
      <c r="F46" s="14"/>
      <c r="G46" s="121"/>
      <c r="H46" s="7"/>
      <c r="I46" s="7"/>
    </row>
    <row r="47" spans="1:9">
      <c r="A47" s="14"/>
      <c r="B47" s="14">
        <f ca="1">Start.listina!U21</f>
        <v>19034</v>
      </c>
      <c r="C47" s="14" t="str">
        <f ca="1">Start.listina!V21</f>
        <v>Valošek</v>
      </c>
      <c r="D47" s="14" t="str">
        <f ca="1">Start.listina!W21</f>
        <v>Hugo</v>
      </c>
      <c r="E47" s="14" t="str">
        <f ca="1">Start.listina!X21</f>
        <v>PK Polouvsí</v>
      </c>
      <c r="F47" s="14"/>
      <c r="G47" s="121"/>
      <c r="H47" s="7"/>
      <c r="I47" s="7"/>
    </row>
    <row r="48" spans="1:9">
      <c r="A48" s="14"/>
      <c r="B48" s="14">
        <f ca="1">Start.listina!AA21</f>
        <v>18042</v>
      </c>
      <c r="C48" s="14" t="str">
        <f ca="1">Start.listina!AB21</f>
        <v>Rousek</v>
      </c>
      <c r="D48" s="14" t="str">
        <f ca="1">Start.listina!AC21</f>
        <v>Simon</v>
      </c>
      <c r="E48" s="14" t="str">
        <f ca="1">Start.listina!AD21</f>
        <v>PEK Stolín</v>
      </c>
      <c r="F48" s="14"/>
      <c r="G48" s="121"/>
      <c r="H48" s="7"/>
      <c r="I48" s="7"/>
    </row>
    <row r="49" spans="1:9">
      <c r="A49" s="14">
        <f ca="1">Start.listina!AH22</f>
        <v>32</v>
      </c>
      <c r="B49" s="14">
        <f ca="1">Start.listina!I22</f>
        <v>18136</v>
      </c>
      <c r="C49" s="14" t="str">
        <f ca="1">Start.listina!J22</f>
        <v>Hanák</v>
      </c>
      <c r="D49" s="14" t="str">
        <f ca="1">Start.listina!K22</f>
        <v>Pavel</v>
      </c>
      <c r="E49" s="14" t="str">
        <f ca="1">Start.listina!L22</f>
        <v>Orel Řečkovice</v>
      </c>
      <c r="F49" s="14"/>
      <c r="G49" s="121">
        <f ca="1">IF(N(A49)&gt;0,VLOOKUP(A49,Body!$A$4:$F$259,5,0),"")</f>
        <v>38.074437500000002</v>
      </c>
      <c r="H49" s="7">
        <f ca="1">IF(N(A49)&gt;0,VLOOKUP(A49,Body!$A$4:$F$259,6,0),"")</f>
        <v>0</v>
      </c>
      <c r="I49" s="7">
        <f ca="1">IF(N(A49)&gt;0,VLOOKUP(A49,Body!$A$4:$F$259,2,0),"")</f>
        <v>1</v>
      </c>
    </row>
    <row r="50" spans="1:9">
      <c r="A50" s="14"/>
      <c r="B50" s="14">
        <f ca="1">Start.listina!O22</f>
        <v>16105</v>
      </c>
      <c r="C50" s="14" t="str">
        <f ca="1">Start.listina!P22</f>
        <v>Krpec</v>
      </c>
      <c r="D50" s="14" t="str">
        <f ca="1">Start.listina!Q22</f>
        <v>František</v>
      </c>
      <c r="E50" s="14" t="str">
        <f ca="1">Start.listina!R22</f>
        <v>HRODE KRUMSÍN</v>
      </c>
      <c r="F50" s="14"/>
      <c r="G50" s="121"/>
      <c r="H50" s="7"/>
      <c r="I50" s="7"/>
    </row>
    <row r="51" spans="1:9">
      <c r="A51" s="14"/>
      <c r="B51" s="14">
        <f ca="1">Start.listina!U22</f>
        <v>13060</v>
      </c>
      <c r="C51" s="14" t="str">
        <f ca="1">Start.listina!V22</f>
        <v>Janík</v>
      </c>
      <c r="D51" s="14" t="str">
        <f ca="1">Start.listina!W22</f>
        <v>Petr</v>
      </c>
      <c r="E51" s="14" t="str">
        <f ca="1">Start.listina!X22</f>
        <v>P.C.B.D.</v>
      </c>
      <c r="F51" s="14"/>
      <c r="G51" s="121"/>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21"/>
      <c r="H52" s="7"/>
      <c r="I52" s="7"/>
    </row>
    <row r="53" spans="1:9">
      <c r="A53" s="14">
        <f ca="1">Start.listina!AH23</f>
        <v>32</v>
      </c>
      <c r="B53" s="14">
        <f ca="1">Start.listina!I23</f>
        <v>18065</v>
      </c>
      <c r="C53" s="14" t="str">
        <f ca="1">Start.listina!J23</f>
        <v>Valošek</v>
      </c>
      <c r="D53" s="14" t="str">
        <f ca="1">Start.listina!K23</f>
        <v>Radim</v>
      </c>
      <c r="E53" s="14" t="str">
        <f ca="1">Start.listina!L23</f>
        <v>PK Polouvsí</v>
      </c>
      <c r="F53" s="14"/>
      <c r="G53" s="121">
        <f ca="1">IF(N(A53)&gt;0,VLOOKUP(A53,Body!$A$4:$F$259,5,0),"")</f>
        <v>38.074437500000002</v>
      </c>
      <c r="H53" s="7">
        <f ca="1">IF(N(A53)&gt;0,VLOOKUP(A53,Body!$A$4:$F$259,6,0),"")</f>
        <v>0</v>
      </c>
      <c r="I53" s="7">
        <f ca="1">IF(N(A53)&gt;0,VLOOKUP(A53,Body!$A$4:$F$259,2,0),"")</f>
        <v>1</v>
      </c>
    </row>
    <row r="54" spans="1:9">
      <c r="A54" s="14"/>
      <c r="B54" s="14">
        <f ca="1">Start.listina!O23</f>
        <v>22181</v>
      </c>
      <c r="C54" s="14" t="str">
        <f ca="1">Start.listina!P23</f>
        <v>Brandes</v>
      </c>
      <c r="D54" s="14" t="str">
        <f ca="1">Start.listina!Q23</f>
        <v>Valter</v>
      </c>
      <c r="E54" s="14" t="str">
        <f ca="1">Start.listina!R23</f>
        <v>PC Damníkov</v>
      </c>
      <c r="F54" s="14"/>
      <c r="G54" s="121"/>
      <c r="H54" s="7"/>
      <c r="I54" s="7"/>
    </row>
    <row r="55" spans="1:9">
      <c r="A55" s="14"/>
      <c r="B55" s="14">
        <f ca="1">Start.listina!U23</f>
        <v>15001</v>
      </c>
      <c r="C55" s="14" t="str">
        <f ca="1">Start.listina!V23</f>
        <v>Ulmann</v>
      </c>
      <c r="D55" s="14" t="str">
        <f ca="1">Start.listina!W23</f>
        <v>Jiří</v>
      </c>
      <c r="E55" s="14" t="str">
        <f ca="1">Start.listina!X23</f>
        <v>TOP - ORLOVÁ</v>
      </c>
      <c r="F55" s="14"/>
      <c r="G55" s="121"/>
      <c r="H55" s="7"/>
      <c r="I55" s="7"/>
    </row>
    <row r="56" spans="1:9">
      <c r="A56" s="14"/>
      <c r="B56" s="14" t="str">
        <f ca="1">Start.listina!AA23</f>
        <v/>
      </c>
      <c r="C56" s="14" t="str">
        <f ca="1">Start.listina!AB23</f>
        <v xml:space="preserve"> </v>
      </c>
      <c r="D56" s="14" t="str">
        <f ca="1">Start.listina!AC23</f>
        <v xml:space="preserve"> </v>
      </c>
      <c r="E56" s="14" t="str">
        <f ca="1">Start.listina!AD23</f>
        <v xml:space="preserve"> </v>
      </c>
      <c r="F56" s="14"/>
      <c r="G56" s="121"/>
      <c r="H56" s="7"/>
      <c r="I56" s="7"/>
    </row>
    <row r="57" spans="1:9">
      <c r="A57" s="14">
        <f ca="1">Start.listina!AH24</f>
        <v>59</v>
      </c>
      <c r="B57" s="14">
        <f ca="1">Start.listina!I24</f>
        <v>22105</v>
      </c>
      <c r="C57" s="14" t="str">
        <f ca="1">Start.listina!J24</f>
        <v>Geislerová</v>
      </c>
      <c r="D57" s="14" t="str">
        <f ca="1">Start.listina!K24</f>
        <v>Veronika</v>
      </c>
      <c r="E57" s="14" t="str">
        <f ca="1">Start.listina!L24</f>
        <v>PEK Stolín</v>
      </c>
      <c r="F57" s="14"/>
      <c r="G57" s="121">
        <f ca="1">IF(N(A57)&gt;0,VLOOKUP(A57,Body!$A$4:$F$259,5,0),"")</f>
        <v>1</v>
      </c>
      <c r="H57" s="7">
        <f ca="1">IF(N(A57)&gt;0,VLOOKUP(A57,Body!$A$4:$F$259,6,0),"")</f>
        <v>0</v>
      </c>
      <c r="I57" s="7">
        <f ca="1">IF(N(A57)&gt;0,VLOOKUP(A57,Body!$A$4:$F$259,2,0),"")</f>
        <v>0</v>
      </c>
    </row>
    <row r="58" spans="1:9">
      <c r="A58" s="14"/>
      <c r="B58" s="14">
        <f ca="1">Start.listina!O24</f>
        <v>20676</v>
      </c>
      <c r="C58" s="14" t="str">
        <f ca="1">Start.listina!P24</f>
        <v>Hájková</v>
      </c>
      <c r="D58" s="14" t="str">
        <f ca="1">Start.listina!Q24</f>
        <v>Iveta</v>
      </c>
      <c r="E58" s="14" t="str">
        <f ca="1">Start.listina!R24</f>
        <v>PEK Stolín</v>
      </c>
      <c r="F58" s="14"/>
      <c r="G58" s="121"/>
      <c r="H58" s="7"/>
      <c r="I58" s="7"/>
    </row>
    <row r="59" spans="1:9">
      <c r="A59" s="14"/>
      <c r="B59" s="14">
        <f ca="1">Start.listina!U24</f>
        <v>20505</v>
      </c>
      <c r="C59" s="14" t="str">
        <f ca="1">Start.listina!V24</f>
        <v>Zdobinská</v>
      </c>
      <c r="D59" s="14" t="str">
        <f ca="1">Start.listina!W24</f>
        <v>Karolína</v>
      </c>
      <c r="E59" s="14" t="str">
        <f ca="1">Start.listina!X24</f>
        <v>PC Sokol Lipník</v>
      </c>
      <c r="F59" s="14"/>
      <c r="G59" s="121"/>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21"/>
      <c r="H60" s="7"/>
      <c r="I60" s="7"/>
    </row>
    <row r="61" spans="1:9">
      <c r="A61" s="14">
        <f ca="1">Start.listina!AH25</f>
        <v>32</v>
      </c>
      <c r="B61" s="14">
        <f ca="1">Start.listina!I25</f>
        <v>96059</v>
      </c>
      <c r="C61" s="14" t="str">
        <f ca="1">Start.listina!J25</f>
        <v>Hančová</v>
      </c>
      <c r="D61" s="14" t="str">
        <f ca="1">Start.listina!K25</f>
        <v>Alice</v>
      </c>
      <c r="E61" s="14" t="str">
        <f ca="1">Start.listina!L25</f>
        <v>1. KPK Vrchlabí</v>
      </c>
      <c r="F61" s="14"/>
      <c r="G61" s="121">
        <f ca="1">IF(N(A61)&gt;0,VLOOKUP(A61,Body!$A$4:$F$259,5,0),"")</f>
        <v>38.074437500000002</v>
      </c>
      <c r="H61" s="7">
        <f ca="1">IF(N(A61)&gt;0,VLOOKUP(A61,Body!$A$4:$F$259,6,0),"")</f>
        <v>0</v>
      </c>
      <c r="I61" s="7">
        <f ca="1">IF(N(A61)&gt;0,VLOOKUP(A61,Body!$A$4:$F$259,2,0),"")</f>
        <v>1</v>
      </c>
    </row>
    <row r="62" spans="1:9">
      <c r="A62" s="14"/>
      <c r="B62" s="14">
        <f ca="1">Start.listina!O25</f>
        <v>25017</v>
      </c>
      <c r="C62" s="14" t="str">
        <f ca="1">Start.listina!P25</f>
        <v>Radoušová</v>
      </c>
      <c r="D62" s="14" t="str">
        <f ca="1">Start.listina!Q25</f>
        <v>Jana</v>
      </c>
      <c r="E62" s="14" t="str">
        <f ca="1">Start.listina!R25</f>
        <v>CdP Loděnice</v>
      </c>
      <c r="F62" s="14"/>
      <c r="G62" s="121"/>
      <c r="H62" s="7"/>
      <c r="I62" s="7"/>
    </row>
    <row r="63" spans="1:9">
      <c r="A63" s="14"/>
      <c r="B63" s="14">
        <f ca="1">Start.listina!U25</f>
        <v>29039</v>
      </c>
      <c r="C63" s="14" t="str">
        <f ca="1">Start.listina!V25</f>
        <v>Krpcová</v>
      </c>
      <c r="D63" s="14" t="str">
        <f ca="1">Start.listina!W25</f>
        <v>Jana</v>
      </c>
      <c r="E63" s="14" t="str">
        <f ca="1">Start.listina!X25</f>
        <v>HRODE KRUMSÍN</v>
      </c>
      <c r="F63" s="14"/>
      <c r="G63" s="121"/>
      <c r="H63" s="7"/>
      <c r="I63" s="7"/>
    </row>
    <row r="64" spans="1:9">
      <c r="A64" s="14"/>
      <c r="B64" s="14">
        <f ca="1">Start.listina!AA25</f>
        <v>12017</v>
      </c>
      <c r="C64" s="14" t="str">
        <f ca="1">Start.listina!AB25</f>
        <v>Tomášková</v>
      </c>
      <c r="D64" s="14" t="str">
        <f ca="1">Start.listina!AC25</f>
        <v>Dana</v>
      </c>
      <c r="E64" s="14" t="str">
        <f ca="1">Start.listina!AD25</f>
        <v>CdP Loděnice</v>
      </c>
      <c r="F64" s="14"/>
      <c r="G64" s="121"/>
      <c r="H64" s="7"/>
      <c r="I64" s="7"/>
    </row>
    <row r="65" spans="1:9">
      <c r="A65" s="14">
        <f ca="1">Start.listina!AH26</f>
        <v>32</v>
      </c>
      <c r="B65" s="14">
        <f ca="1">Start.listina!I26</f>
        <v>13005</v>
      </c>
      <c r="C65" s="14" t="str">
        <f ca="1">Start.listina!J26</f>
        <v>Bureš st.</v>
      </c>
      <c r="D65" s="14" t="str">
        <f ca="1">Start.listina!K26</f>
        <v>Pavel</v>
      </c>
      <c r="E65" s="14" t="str">
        <f ca="1">Start.listina!L26</f>
        <v>HAPEK</v>
      </c>
      <c r="F65" s="14"/>
      <c r="G65" s="121">
        <f ca="1">IF(N(A65)&gt;0,VLOOKUP(A65,Body!$A$4:$F$259,5,0),"")</f>
        <v>38.074437500000002</v>
      </c>
      <c r="H65" s="7">
        <f ca="1">IF(N(A65)&gt;0,VLOOKUP(A65,Body!$A$4:$F$259,6,0),"")</f>
        <v>0</v>
      </c>
      <c r="I65" s="7">
        <f ca="1">IF(N(A65)&gt;0,VLOOKUP(A65,Body!$A$4:$F$259,2,0),"")</f>
        <v>1</v>
      </c>
    </row>
    <row r="66" spans="1:9">
      <c r="A66" s="14"/>
      <c r="B66" s="14">
        <f ca="1">Start.listina!O26</f>
        <v>21049</v>
      </c>
      <c r="C66" s="14" t="str">
        <f ca="1">Start.listina!P26</f>
        <v>Paulík</v>
      </c>
      <c r="D66" s="14" t="str">
        <f ca="1">Start.listina!Q26</f>
        <v>Robert</v>
      </c>
      <c r="E66" s="14" t="str">
        <f ca="1">Start.listina!R26</f>
        <v>SLOPE Brno</v>
      </c>
      <c r="F66" s="14"/>
      <c r="G66" s="121"/>
      <c r="H66" s="7"/>
      <c r="I66" s="7"/>
    </row>
    <row r="67" spans="1:9">
      <c r="A67" s="14"/>
      <c r="B67" s="14">
        <f ca="1">Start.listina!U26</f>
        <v>18132</v>
      </c>
      <c r="C67" s="14" t="str">
        <f ca="1">Start.listina!V26</f>
        <v>Vašíček</v>
      </c>
      <c r="D67" s="14" t="str">
        <f ca="1">Start.listina!W26</f>
        <v>Vladimír</v>
      </c>
      <c r="E67" s="14" t="str">
        <f ca="1">Start.listina!X26</f>
        <v>PK Polouvsí</v>
      </c>
      <c r="F67" s="14"/>
      <c r="G67" s="121"/>
      <c r="H67" s="7"/>
      <c r="I67" s="7"/>
    </row>
    <row r="68" spans="1:9">
      <c r="A68" s="14"/>
      <c r="B68" s="14" t="str">
        <f ca="1">Start.listina!AA26</f>
        <v/>
      </c>
      <c r="C68" s="14" t="str">
        <f ca="1">Start.listina!AB26</f>
        <v xml:space="preserve"> </v>
      </c>
      <c r="D68" s="14" t="str">
        <f ca="1">Start.listina!AC26</f>
        <v xml:space="preserve"> </v>
      </c>
      <c r="E68" s="14" t="str">
        <f ca="1">Start.listina!AD26</f>
        <v xml:space="preserve"> </v>
      </c>
      <c r="F68" s="14"/>
      <c r="G68" s="121"/>
      <c r="H68" s="7"/>
      <c r="I68" s="7"/>
    </row>
    <row r="69" spans="1:9">
      <c r="A69" s="14">
        <f ca="1">Start.listina!AH27</f>
        <v>5</v>
      </c>
      <c r="B69" s="14">
        <f ca="1">Start.listina!I27</f>
        <v>99574</v>
      </c>
      <c r="C69" s="14" t="str">
        <f ca="1">Start.listina!J27</f>
        <v>Demčíková</v>
      </c>
      <c r="D69" s="14" t="str">
        <f ca="1">Start.listina!K27</f>
        <v>Jiřina</v>
      </c>
      <c r="E69" s="14" t="str">
        <f ca="1">Start.listina!L27</f>
        <v>SK Sahara Vědomice</v>
      </c>
      <c r="F69" s="14"/>
      <c r="G69" s="121">
        <f ca="1">IF(N(A69)&gt;0,VLOOKUP(A69,Body!$A$4:$F$259,5,0),"")</f>
        <v>142.779140625</v>
      </c>
      <c r="H69" s="7">
        <f ca="1">IF(N(A69)&gt;0,VLOOKUP(A69,Body!$A$4:$F$259,6,0),"")</f>
        <v>0</v>
      </c>
      <c r="I69" s="7">
        <f ca="1">IF(N(A69)&gt;0,VLOOKUP(A69,Body!$A$4:$F$259,2,0),"")</f>
        <v>3.75</v>
      </c>
    </row>
    <row r="70" spans="1:9">
      <c r="A70" s="14"/>
      <c r="B70" s="14">
        <f ca="1">Start.listina!O27</f>
        <v>26043</v>
      </c>
      <c r="C70" s="14" t="str">
        <f ca="1">Start.listina!P27</f>
        <v>Král</v>
      </c>
      <c r="D70" s="14" t="str">
        <f ca="1">Start.listina!Q27</f>
        <v>Pavel</v>
      </c>
      <c r="E70" s="14" t="str">
        <f ca="1">Start.listina!R27</f>
        <v>FENYX Adamov</v>
      </c>
      <c r="F70" s="14"/>
      <c r="G70" s="121"/>
      <c r="H70" s="7"/>
      <c r="I70" s="7"/>
    </row>
    <row r="71" spans="1:9">
      <c r="A71" s="14"/>
      <c r="B71" s="14">
        <f ca="1">Start.listina!U27</f>
        <v>16020</v>
      </c>
      <c r="C71" s="14" t="str">
        <f ca="1">Start.listina!V27</f>
        <v>Handl</v>
      </c>
      <c r="D71" s="14" t="str">
        <f ca="1">Start.listina!W27</f>
        <v>Zdeněk</v>
      </c>
      <c r="E71" s="14" t="str">
        <f ca="1">Start.listina!X27</f>
        <v>FENYX Adamov</v>
      </c>
      <c r="F71" s="14"/>
      <c r="G71" s="121"/>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21"/>
      <c r="H72" s="7"/>
      <c r="I72" s="7"/>
    </row>
    <row r="73" spans="1:9">
      <c r="A73" s="14">
        <f ca="1">Start.listina!AH28</f>
        <v>9</v>
      </c>
      <c r="B73" s="14">
        <f ca="1">Start.listina!I28</f>
        <v>26011</v>
      </c>
      <c r="C73" s="14" t="str">
        <f ca="1">Start.listina!J28</f>
        <v>Brázda</v>
      </c>
      <c r="D73" s="14" t="str">
        <f ca="1">Start.listina!K28</f>
        <v>Vladimír</v>
      </c>
      <c r="E73" s="14" t="str">
        <f ca="1">Start.listina!L28</f>
        <v>1. KPK Vrchlabí</v>
      </c>
      <c r="F73" s="14"/>
      <c r="G73" s="121">
        <f ca="1">IF(N(A73)&gt;0,VLOOKUP(A73,Body!$A$4:$F$259,5,0),"")</f>
        <v>109.4640078125</v>
      </c>
      <c r="H73" s="7">
        <f ca="1">IF(N(A73)&gt;0,VLOOKUP(A73,Body!$A$4:$F$259,6,0),"")</f>
        <v>0</v>
      </c>
      <c r="I73" s="7">
        <f ca="1">IF(N(A73)&gt;0,VLOOKUP(A73,Body!$A$4:$F$259,2,0),"")</f>
        <v>2.875</v>
      </c>
    </row>
    <row r="74" spans="1:9">
      <c r="A74" s="14"/>
      <c r="B74" s="14">
        <f ca="1">Start.listina!O28</f>
        <v>22100</v>
      </c>
      <c r="C74" s="14" t="str">
        <f ca="1">Start.listina!P28</f>
        <v>Semeniv</v>
      </c>
      <c r="D74" s="14" t="str">
        <f ca="1">Start.listina!Q28</f>
        <v>Maryana Khrystyna</v>
      </c>
      <c r="E74" s="14" t="str">
        <f ca="1">Start.listina!R28</f>
        <v>1. KPK Vrchlabí</v>
      </c>
      <c r="F74" s="14"/>
      <c r="G74" s="121"/>
      <c r="H74" s="7"/>
      <c r="I74" s="7"/>
    </row>
    <row r="75" spans="1:9">
      <c r="A75" s="14"/>
      <c r="B75" s="14">
        <f ca="1">Start.listina!U28</f>
        <v>17033</v>
      </c>
      <c r="C75" s="14" t="str">
        <f ca="1">Start.listina!V28</f>
        <v>Kobr</v>
      </c>
      <c r="D75" s="14" t="str">
        <f ca="1">Start.listina!W28</f>
        <v>Štěpán</v>
      </c>
      <c r="E75" s="14" t="str">
        <f ca="1">Start.listina!X28</f>
        <v>1. KPK Vrchlabí</v>
      </c>
      <c r="F75" s="14"/>
      <c r="G75" s="121"/>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21"/>
      <c r="H76" s="7"/>
      <c r="I76" s="7"/>
    </row>
    <row r="77" spans="1:9">
      <c r="A77" s="14">
        <f ca="1">Start.listina!AH29</f>
        <v>12</v>
      </c>
      <c r="B77" s="14">
        <f ca="1">Start.listina!I29</f>
        <v>25054</v>
      </c>
      <c r="C77" s="14" t="str">
        <f ca="1">Start.listina!J29</f>
        <v>Gratcl</v>
      </c>
      <c r="D77" s="14" t="str">
        <f ca="1">Start.listina!K29</f>
        <v>Jiří</v>
      </c>
      <c r="E77" s="14" t="str">
        <f ca="1">Start.listina!L29</f>
        <v>SKP Hranice VI-Valšovice</v>
      </c>
      <c r="F77" s="14"/>
      <c r="G77" s="121">
        <f ca="1">IF(N(A77)&gt;0,VLOOKUP(A77,Body!$A$4:$F$259,5,0),"")</f>
        <v>95.186093749999998</v>
      </c>
      <c r="H77" s="7">
        <f ca="1">IF(N(A77)&gt;0,VLOOKUP(A77,Body!$A$4:$F$259,6,0),"")</f>
        <v>0</v>
      </c>
      <c r="I77" s="7">
        <f ca="1">IF(N(A77)&gt;0,VLOOKUP(A77,Body!$A$4:$F$259,2,0),"")</f>
        <v>2.5</v>
      </c>
    </row>
    <row r="78" spans="1:9">
      <c r="A78" s="14"/>
      <c r="B78" s="14">
        <f ca="1">Start.listina!O29</f>
        <v>25055</v>
      </c>
      <c r="C78" s="14" t="str">
        <f ca="1">Start.listina!P29</f>
        <v>Jakeš</v>
      </c>
      <c r="D78" s="14" t="str">
        <f ca="1">Start.listina!Q29</f>
        <v>Zbyněk</v>
      </c>
      <c r="E78" s="14" t="str">
        <f ca="1">Start.listina!R29</f>
        <v>SKP Hranice VI-Valšovice</v>
      </c>
      <c r="F78" s="14"/>
      <c r="G78" s="121"/>
      <c r="H78" s="7"/>
      <c r="I78" s="7"/>
    </row>
    <row r="79" spans="1:9">
      <c r="A79" s="14"/>
      <c r="B79" s="14">
        <f ca="1">Start.listina!U29</f>
        <v>16107</v>
      </c>
      <c r="C79" s="14" t="str">
        <f ca="1">Start.listina!V29</f>
        <v>Janeček</v>
      </c>
      <c r="D79" s="14" t="str">
        <f ca="1">Start.listina!W29</f>
        <v>Robert</v>
      </c>
      <c r="E79" s="14" t="str">
        <f ca="1">Start.listina!X29</f>
        <v>HRODE KRUMSÍN</v>
      </c>
      <c r="F79" s="14"/>
      <c r="G79" s="121"/>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21"/>
      <c r="H80" s="7"/>
      <c r="I80" s="7"/>
    </row>
    <row r="81" spans="1:9">
      <c r="A81" s="14">
        <f ca="1">Start.listina!AH30</f>
        <v>32</v>
      </c>
      <c r="B81" s="14">
        <f ca="1">Start.listina!I30</f>
        <v>23236</v>
      </c>
      <c r="C81" s="14" t="str">
        <f ca="1">Start.listina!J30</f>
        <v>Pellizon</v>
      </c>
      <c r="D81" s="14" t="str">
        <f ca="1">Start.listina!K30</f>
        <v>Boris Alfred</v>
      </c>
      <c r="E81" s="14" t="str">
        <f ca="1">Start.listina!L30</f>
        <v>Carreau Brno</v>
      </c>
      <c r="F81" s="14"/>
      <c r="G81" s="121">
        <f ca="1">IF(N(A81)&gt;0,VLOOKUP(A81,Body!$A$4:$F$259,5,0),"")</f>
        <v>38.074437500000002</v>
      </c>
      <c r="H81" s="7">
        <f ca="1">IF(N(A81)&gt;0,VLOOKUP(A81,Body!$A$4:$F$259,6,0),"")</f>
        <v>0</v>
      </c>
      <c r="I81" s="7">
        <f ca="1">IF(N(A81)&gt;0,VLOOKUP(A81,Body!$A$4:$F$259,2,0),"")</f>
        <v>1</v>
      </c>
    </row>
    <row r="82" spans="1:9">
      <c r="A82" s="14"/>
      <c r="B82" s="14">
        <f ca="1">Start.listina!O30</f>
        <v>20504</v>
      </c>
      <c r="C82" s="14" t="str">
        <f ca="1">Start.listina!P30</f>
        <v>Bytešník</v>
      </c>
      <c r="D82" s="14" t="str">
        <f ca="1">Start.listina!Q30</f>
        <v>Roman</v>
      </c>
      <c r="E82" s="14" t="str">
        <f ca="1">Start.listina!R30</f>
        <v>Carreau Brno</v>
      </c>
      <c r="F82" s="14"/>
      <c r="G82" s="121"/>
      <c r="H82" s="7"/>
      <c r="I82" s="7"/>
    </row>
    <row r="83" spans="1:9">
      <c r="A83" s="14"/>
      <c r="B83" s="14">
        <f ca="1">Start.listina!U30</f>
        <v>20617</v>
      </c>
      <c r="C83" s="14" t="str">
        <f ca="1">Start.listina!V30</f>
        <v>Rendla</v>
      </c>
      <c r="D83" s="14" t="str">
        <f ca="1">Start.listina!W30</f>
        <v>Jakub</v>
      </c>
      <c r="E83" s="14" t="str">
        <f ca="1">Start.listina!X30</f>
        <v>Carreau Brno</v>
      </c>
      <c r="F83" s="14"/>
      <c r="G83" s="121"/>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21"/>
      <c r="H84" s="7"/>
      <c r="I84" s="7"/>
    </row>
    <row r="85" spans="1:9">
      <c r="A85" s="14">
        <f ca="1">Start.listina!AH31</f>
        <v>8</v>
      </c>
      <c r="B85" s="14">
        <f ca="1">Start.listina!I31</f>
        <v>22017</v>
      </c>
      <c r="C85" s="14" t="str">
        <f ca="1">Start.listina!J31</f>
        <v>Ferlay</v>
      </c>
      <c r="D85" s="14" t="str">
        <f ca="1">Start.listina!K31</f>
        <v>Franck</v>
      </c>
      <c r="E85" s="14" t="str">
        <f ca="1">Start.listina!L31</f>
        <v>Carreau Brno</v>
      </c>
      <c r="F85" s="14"/>
      <c r="G85" s="121">
        <f ca="1">IF(N(A85)&gt;0,VLOOKUP(A85,Body!$A$4:$F$259,5,0),"")</f>
        <v>114.22331250000001</v>
      </c>
      <c r="H85" s="7">
        <f ca="1">IF(N(A85)&gt;0,VLOOKUP(A85,Body!$A$4:$F$259,6,0),"")</f>
        <v>0</v>
      </c>
      <c r="I85" s="7">
        <f ca="1">IF(N(A85)&gt;0,VLOOKUP(A85,Body!$A$4:$F$259,2,0),"")</f>
        <v>3</v>
      </c>
    </row>
    <row r="86" spans="1:9">
      <c r="A86" s="14"/>
      <c r="B86" s="14">
        <f ca="1">Start.listina!O31</f>
        <v>21050</v>
      </c>
      <c r="C86" s="14" t="str">
        <f ca="1">Start.listina!P31</f>
        <v>Štěpánek</v>
      </c>
      <c r="D86" s="14" t="str">
        <f ca="1">Start.listina!Q31</f>
        <v>Michal</v>
      </c>
      <c r="E86" s="14" t="str">
        <f ca="1">Start.listina!R31</f>
        <v>SLOPE Brno</v>
      </c>
      <c r="F86" s="14"/>
      <c r="G86" s="121"/>
      <c r="H86" s="7"/>
      <c r="I86" s="7"/>
    </row>
    <row r="87" spans="1:9">
      <c r="A87" s="14"/>
      <c r="B87" s="14">
        <f ca="1">Start.listina!U31</f>
        <v>11011</v>
      </c>
      <c r="C87" s="14" t="str">
        <f ca="1">Start.listina!V31</f>
        <v>Juráň</v>
      </c>
      <c r="D87" s="14" t="str">
        <f ca="1">Start.listina!W31</f>
        <v>Petr</v>
      </c>
      <c r="E87" s="14" t="str">
        <f ca="1">Start.listina!X31</f>
        <v>HRODE KRUMSÍN</v>
      </c>
      <c r="F87" s="14"/>
      <c r="G87" s="121"/>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21"/>
      <c r="H88" s="7"/>
      <c r="I88" s="7"/>
    </row>
    <row r="89" spans="1:9">
      <c r="A89" s="14">
        <f ca="1">Start.listina!AH32</f>
        <v>13</v>
      </c>
      <c r="B89" s="14">
        <f ca="1">Start.listina!I32</f>
        <v>21021</v>
      </c>
      <c r="C89" s="14" t="str">
        <f ca="1">Start.listina!J32</f>
        <v>Sekerešová</v>
      </c>
      <c r="D89" s="14" t="str">
        <f ca="1">Start.listina!K32</f>
        <v>Jindřiška</v>
      </c>
      <c r="E89" s="14" t="str">
        <f ca="1">Start.listina!L32</f>
        <v>SK Sahara Vědomice</v>
      </c>
      <c r="F89" s="14"/>
      <c r="G89" s="121">
        <f ca="1">IF(N(A89)&gt;0,VLOOKUP(A89,Body!$A$4:$F$259,5,0),"")</f>
        <v>90.426789062500006</v>
      </c>
      <c r="H89" s="7">
        <f ca="1">IF(N(A89)&gt;0,VLOOKUP(A89,Body!$A$4:$F$259,6,0),"")</f>
        <v>0</v>
      </c>
      <c r="I89" s="7">
        <f ca="1">IF(N(A89)&gt;0,VLOOKUP(A89,Body!$A$4:$F$259,2,0),"")</f>
        <v>2.375</v>
      </c>
    </row>
    <row r="90" spans="1:9">
      <c r="A90" s="14"/>
      <c r="B90" s="14">
        <f ca="1">Start.listina!O32</f>
        <v>14079</v>
      </c>
      <c r="C90" s="14" t="str">
        <f ca="1">Start.listina!P32</f>
        <v>Heller</v>
      </c>
      <c r="D90" s="14" t="str">
        <f ca="1">Start.listina!Q32</f>
        <v>Jan</v>
      </c>
      <c r="E90" s="14" t="str">
        <f ca="1">Start.listina!R32</f>
        <v>PC Mimo Done</v>
      </c>
      <c r="F90" s="14"/>
      <c r="G90" s="121"/>
      <c r="H90" s="7"/>
      <c r="I90" s="7"/>
    </row>
    <row r="91" spans="1:9">
      <c r="A91" s="14"/>
      <c r="B91" s="14">
        <f ca="1">Start.listina!U32</f>
        <v>98446</v>
      </c>
      <c r="C91" s="14" t="str">
        <f ca="1">Start.listina!V32</f>
        <v>Morávek</v>
      </c>
      <c r="D91" s="14" t="str">
        <f ca="1">Start.listina!W32</f>
        <v>Petr</v>
      </c>
      <c r="E91" s="14" t="str">
        <f ca="1">Start.listina!X32</f>
        <v>PC Sokol Lipník</v>
      </c>
      <c r="F91" s="14"/>
      <c r="G91" s="121"/>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21"/>
      <c r="H92" s="7"/>
      <c r="I92" s="7"/>
    </row>
    <row r="93" spans="1:9">
      <c r="A93" s="14">
        <f ca="1">Start.listina!AH33</f>
        <v>11</v>
      </c>
      <c r="B93" s="14">
        <f ca="1">Start.listina!I33</f>
        <v>11001</v>
      </c>
      <c r="C93" s="14" t="str">
        <f ca="1">Start.listina!J33</f>
        <v>Lukáš</v>
      </c>
      <c r="D93" s="14" t="str">
        <f ca="1">Start.listina!K33</f>
        <v>Petr</v>
      </c>
      <c r="E93" s="14" t="str">
        <f ca="1">Start.listina!L33</f>
        <v>PLUK Jablonec</v>
      </c>
      <c r="F93" s="14"/>
      <c r="G93" s="121">
        <f ca="1">IF(N(A93)&gt;0,VLOOKUP(A93,Body!$A$4:$F$259,5,0),"")</f>
        <v>99.945398437500003</v>
      </c>
      <c r="H93" s="7">
        <f ca="1">IF(N(A93)&gt;0,VLOOKUP(A93,Body!$A$4:$F$259,6,0),"")</f>
        <v>0</v>
      </c>
      <c r="I93" s="7">
        <f ca="1">IF(N(A93)&gt;0,VLOOKUP(A93,Body!$A$4:$F$259,2,0),"")</f>
        <v>2.625</v>
      </c>
    </row>
    <row r="94" spans="1:9">
      <c r="A94" s="14"/>
      <c r="B94" s="14">
        <f ca="1">Start.listina!O33</f>
        <v>11002</v>
      </c>
      <c r="C94" s="14" t="str">
        <f ca="1">Start.listina!P33</f>
        <v>Lukášová</v>
      </c>
      <c r="D94" s="14" t="str">
        <f ca="1">Start.listina!Q33</f>
        <v>Jana</v>
      </c>
      <c r="E94" s="14" t="str">
        <f ca="1">Start.listina!R33</f>
        <v>PLUK Jablonec</v>
      </c>
      <c r="F94" s="14"/>
      <c r="G94" s="121"/>
      <c r="H94" s="7"/>
      <c r="I94" s="7"/>
    </row>
    <row r="95" spans="1:9">
      <c r="A95" s="14"/>
      <c r="B95" s="14">
        <f ca="1">Start.listina!U33</f>
        <v>10048</v>
      </c>
      <c r="C95" s="14" t="str">
        <f ca="1">Start.listina!V33</f>
        <v>Valík</v>
      </c>
      <c r="D95" s="14" t="str">
        <f ca="1">Start.listina!W33</f>
        <v>Václav</v>
      </c>
      <c r="E95" s="14" t="str">
        <f ca="1">Start.listina!X33</f>
        <v>PAK Albrechtice</v>
      </c>
      <c r="F95" s="14"/>
      <c r="G95" s="121"/>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21"/>
      <c r="H96" s="7"/>
      <c r="I96" s="7"/>
    </row>
    <row r="97" spans="1:9">
      <c r="A97" s="14">
        <f ca="1">Start.listina!AH34</f>
        <v>32</v>
      </c>
      <c r="B97" s="14">
        <f ca="1">Start.listina!I34</f>
        <v>18109</v>
      </c>
      <c r="C97" s="14" t="str">
        <f ca="1">Start.listina!J34</f>
        <v>Šternberg</v>
      </c>
      <c r="D97" s="14" t="str">
        <f ca="1">Start.listina!K34</f>
        <v>Martin</v>
      </c>
      <c r="E97" s="14" t="str">
        <f ca="1">Start.listina!L34</f>
        <v>SPORT Kolín</v>
      </c>
      <c r="F97" s="14"/>
      <c r="G97" s="121">
        <f ca="1">IF(N(A97)&gt;0,VLOOKUP(A97,Body!$A$4:$F$259,5,0),"")</f>
        <v>38.074437500000002</v>
      </c>
      <c r="H97" s="7">
        <f ca="1">IF(N(A97)&gt;0,VLOOKUP(A97,Body!$A$4:$F$259,6,0),"")</f>
        <v>0</v>
      </c>
      <c r="I97" s="7">
        <f ca="1">IF(N(A97)&gt;0,VLOOKUP(A97,Body!$A$4:$F$259,2,0),"")</f>
        <v>1</v>
      </c>
    </row>
    <row r="98" spans="1:9">
      <c r="A98" s="14"/>
      <c r="B98" s="14">
        <f ca="1">Start.listina!O34</f>
        <v>16124</v>
      </c>
      <c r="C98" s="14" t="str">
        <f ca="1">Start.listina!P34</f>
        <v>Malá</v>
      </c>
      <c r="D98" s="14" t="str">
        <f ca="1">Start.listina!Q34</f>
        <v>Zuzana</v>
      </c>
      <c r="E98" s="14" t="str">
        <f ca="1">Start.listina!R34</f>
        <v>SPORT Kolín</v>
      </c>
      <c r="F98" s="14"/>
      <c r="G98" s="121"/>
      <c r="H98" s="7"/>
      <c r="I98" s="7"/>
    </row>
    <row r="99" spans="1:9">
      <c r="A99" s="14"/>
      <c r="B99" s="14">
        <f ca="1">Start.listina!U34</f>
        <v>15065</v>
      </c>
      <c r="C99" s="14" t="str">
        <f ca="1">Start.listina!V34</f>
        <v>Palas</v>
      </c>
      <c r="D99" s="14" t="str">
        <f ca="1">Start.listina!W34</f>
        <v>Pavel</v>
      </c>
      <c r="E99" s="14" t="str">
        <f ca="1">Start.listina!X34</f>
        <v>UBU Únětice</v>
      </c>
      <c r="F99" s="14"/>
      <c r="G99" s="121"/>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21"/>
      <c r="H100" s="7"/>
      <c r="I100" s="7"/>
    </row>
    <row r="101" spans="1:9">
      <c r="A101" s="14">
        <f>Start.listina!AH35</f>
        <v>48</v>
      </c>
      <c r="B101" s="14">
        <f ca="1">Start.listina!I35</f>
        <v>16133</v>
      </c>
      <c r="C101" s="14" t="str">
        <f ca="1">Start.listina!J35</f>
        <v>Strouhalová</v>
      </c>
      <c r="D101" s="14" t="str">
        <f ca="1">Start.listina!K35</f>
        <v>Terezie</v>
      </c>
      <c r="E101" s="14" t="str">
        <f ca="1">Start.listina!L35</f>
        <v>1. Starobrněnský PK</v>
      </c>
      <c r="F101" s="14"/>
      <c r="G101" s="121">
        <f ca="1">IF(N(A101)&gt;0,VLOOKUP(A101,Body!$A$4:$F$259,5,0),"")</f>
        <v>19.037218750000001</v>
      </c>
      <c r="H101" s="7">
        <f ca="1">IF(N(A101)&gt;0,VLOOKUP(A101,Body!$A$4:$F$259,6,0),"")</f>
        <v>0</v>
      </c>
      <c r="I101" s="7">
        <f ca="1">IF(N(A101)&gt;0,VLOOKUP(A101,Body!$A$4:$F$259,2,0),"")</f>
        <v>0.5</v>
      </c>
    </row>
    <row r="102" spans="1:9">
      <c r="A102" s="14"/>
      <c r="B102" s="14">
        <f ca="1">Start.listina!O35</f>
        <v>18099</v>
      </c>
      <c r="C102" s="14" t="str">
        <f ca="1">Start.listina!P35</f>
        <v>Merta</v>
      </c>
      <c r="D102" s="14" t="str">
        <f ca="1">Start.listina!Q35</f>
        <v>Lukáš</v>
      </c>
      <c r="E102" s="14" t="str">
        <f ca="1">Start.listina!R35</f>
        <v>1. Starobrněnský PK</v>
      </c>
      <c r="F102" s="14"/>
      <c r="G102" s="121"/>
      <c r="H102" s="7"/>
      <c r="I102" s="7"/>
    </row>
    <row r="103" spans="1:9">
      <c r="A103" s="14"/>
      <c r="B103" s="14">
        <f ca="1">Start.listina!U35</f>
        <v>21072</v>
      </c>
      <c r="C103" s="14" t="str">
        <f ca="1">Start.listina!V35</f>
        <v>Kutra</v>
      </c>
      <c r="D103" s="14" t="str">
        <f ca="1">Start.listina!W35</f>
        <v>Oldřích</v>
      </c>
      <c r="E103" s="14" t="str">
        <f ca="1">Start.listina!X35</f>
        <v>1. Starobrněnský PK</v>
      </c>
      <c r="F103" s="14"/>
      <c r="G103" s="121"/>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21"/>
      <c r="H104" s="7"/>
      <c r="I104" s="7"/>
    </row>
    <row r="105" spans="1:9">
      <c r="A105" s="14">
        <f ca="1">Start.listina!AH36</f>
        <v>3</v>
      </c>
      <c r="B105" s="14">
        <f ca="1">Start.listina!I36</f>
        <v>21912</v>
      </c>
      <c r="C105" s="14" t="str">
        <f ca="1">Start.listina!J36</f>
        <v>Koreš st.</v>
      </c>
      <c r="D105" s="14" t="str">
        <f ca="1">Start.listina!K36</f>
        <v>Jiří</v>
      </c>
      <c r="E105" s="14" t="str">
        <f ca="1">Start.listina!L36</f>
        <v>HAVAJ CB</v>
      </c>
      <c r="F105" s="14"/>
      <c r="G105" s="121">
        <f ca="1">IF(N(A105)&gt;0,VLOOKUP(A105,Body!$A$4:$F$259,5,0),"")</f>
        <v>171.33496875</v>
      </c>
      <c r="H105" s="7">
        <f ca="1">IF(N(A105)&gt;0,VLOOKUP(A105,Body!$A$4:$F$259,6,0),"")</f>
        <v>0</v>
      </c>
      <c r="I105" s="7">
        <f ca="1">IF(N(A105)&gt;0,VLOOKUP(A105,Body!$A$4:$F$259,2,0),"")</f>
        <v>4.5</v>
      </c>
    </row>
    <row r="106" spans="1:9">
      <c r="A106" s="14"/>
      <c r="B106" s="14">
        <f ca="1">Start.listina!O36</f>
        <v>24310</v>
      </c>
      <c r="C106" s="14" t="str">
        <f ca="1">Start.listina!P36</f>
        <v>Netušil</v>
      </c>
      <c r="D106" s="14" t="str">
        <f ca="1">Start.listina!Q36</f>
        <v>Radek</v>
      </c>
      <c r="E106" s="14" t="str">
        <f ca="1">Start.listina!R36</f>
        <v>P.C.B.D.</v>
      </c>
      <c r="F106" s="14"/>
      <c r="G106" s="121"/>
      <c r="H106" s="7"/>
      <c r="I106" s="7"/>
    </row>
    <row r="107" spans="1:9">
      <c r="A107" s="14"/>
      <c r="B107" s="14">
        <f ca="1">Start.listina!U36</f>
        <v>22991</v>
      </c>
      <c r="C107" s="14" t="str">
        <f ca="1">Start.listina!V36</f>
        <v>Koreš ml.</v>
      </c>
      <c r="D107" s="14" t="str">
        <f ca="1">Start.listina!W36</f>
        <v>Jiří</v>
      </c>
      <c r="E107" s="14" t="str">
        <f ca="1">Start.listina!X36</f>
        <v>HAVAJ CB</v>
      </c>
      <c r="F107" s="14"/>
      <c r="G107" s="121"/>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21"/>
      <c r="H108" s="7"/>
      <c r="I108" s="7"/>
    </row>
    <row r="109" spans="1:9">
      <c r="A109" s="14">
        <f ca="1">Start.listina!AH37</f>
        <v>32</v>
      </c>
      <c r="B109" s="14">
        <f ca="1">Start.listina!I37</f>
        <v>11038</v>
      </c>
      <c r="C109" s="14" t="str">
        <f ca="1">Start.listina!J37</f>
        <v>Kapeš</v>
      </c>
      <c r="D109" s="14" t="str">
        <f ca="1">Start.listina!K37</f>
        <v>Roman</v>
      </c>
      <c r="E109" s="14" t="str">
        <f ca="1">Start.listina!L37</f>
        <v>1. KPK Vrchlabí</v>
      </c>
      <c r="F109" s="14"/>
      <c r="G109" s="121">
        <f ca="1">IF(N(A109)&gt;0,VLOOKUP(A109,Body!$A$4:$F$259,5,0),"")</f>
        <v>38.074437500000002</v>
      </c>
      <c r="H109" s="7">
        <f ca="1">IF(N(A109)&gt;0,VLOOKUP(A109,Body!$A$4:$F$259,6,0),"")</f>
        <v>0</v>
      </c>
      <c r="I109" s="7">
        <f ca="1">IF(N(A109)&gt;0,VLOOKUP(A109,Body!$A$4:$F$259,2,0),"")</f>
        <v>1</v>
      </c>
    </row>
    <row r="110" spans="1:9">
      <c r="A110" s="14"/>
      <c r="B110" s="14">
        <f ca="1">Start.listina!O37</f>
        <v>15067</v>
      </c>
      <c r="C110" s="14" t="str">
        <f ca="1">Start.listina!P37</f>
        <v>Vyoral</v>
      </c>
      <c r="D110" s="14" t="str">
        <f ca="1">Start.listina!Q37</f>
        <v>Hynek</v>
      </c>
      <c r="E110" s="14" t="str">
        <f ca="1">Start.listina!R37</f>
        <v>PC Sokol Lipník</v>
      </c>
      <c r="F110" s="14"/>
      <c r="G110" s="121"/>
      <c r="H110" s="7"/>
      <c r="I110" s="7"/>
    </row>
    <row r="111" spans="1:9">
      <c r="A111" s="14"/>
      <c r="B111" s="14">
        <f ca="1">Start.listina!U37</f>
        <v>12086</v>
      </c>
      <c r="C111" s="14" t="str">
        <f ca="1">Start.listina!V37</f>
        <v>Froněk st.</v>
      </c>
      <c r="D111" s="14" t="str">
        <f ca="1">Start.listina!W37</f>
        <v>Jiří</v>
      </c>
      <c r="E111" s="14" t="str">
        <f ca="1">Start.listina!X37</f>
        <v>CdP Loděnice</v>
      </c>
      <c r="F111" s="14"/>
      <c r="G111" s="121"/>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21"/>
      <c r="H112" s="7"/>
      <c r="I112" s="7"/>
    </row>
    <row r="113" spans="1:9">
      <c r="A113" s="14">
        <f>Start.listina!AH38</f>
        <v>48</v>
      </c>
      <c r="B113" s="14">
        <f ca="1">Start.listina!I38</f>
        <v>16029</v>
      </c>
      <c r="C113" s="14" t="str">
        <f ca="1">Start.listina!J38</f>
        <v>Kašparová</v>
      </c>
      <c r="D113" s="14" t="str">
        <f ca="1">Start.listina!K38</f>
        <v>Barbora</v>
      </c>
      <c r="E113" s="14" t="str">
        <f ca="1">Start.listina!L38</f>
        <v>Petank Club Praha</v>
      </c>
      <c r="F113" s="14"/>
      <c r="G113" s="121">
        <f ca="1">IF(N(A113)&gt;0,VLOOKUP(A113,Body!$A$4:$F$259,5,0),"")</f>
        <v>19.037218750000001</v>
      </c>
      <c r="H113" s="7">
        <f ca="1">IF(N(A113)&gt;0,VLOOKUP(A113,Body!$A$4:$F$259,6,0),"")</f>
        <v>0</v>
      </c>
      <c r="I113" s="7">
        <f ca="1">IF(N(A113)&gt;0,VLOOKUP(A113,Body!$A$4:$F$259,2,0),"")</f>
        <v>0.5</v>
      </c>
    </row>
    <row r="114" spans="1:9">
      <c r="A114" s="14"/>
      <c r="B114" s="14">
        <f ca="1">Start.listina!O38</f>
        <v>14076</v>
      </c>
      <c r="C114" s="14" t="str">
        <f ca="1">Start.listina!P38</f>
        <v>Klír</v>
      </c>
      <c r="D114" s="14" t="str">
        <f ca="1">Start.listina!Q38</f>
        <v>Tomáš</v>
      </c>
      <c r="E114" s="14" t="str">
        <f ca="1">Start.listina!R38</f>
        <v>Petank Club Praha</v>
      </c>
      <c r="F114" s="14"/>
      <c r="G114" s="121"/>
      <c r="H114" s="7"/>
      <c r="I114" s="7"/>
    </row>
    <row r="115" spans="1:9">
      <c r="A115" s="14"/>
      <c r="B115" s="14">
        <f ca="1">Start.listina!U38</f>
        <v>14099</v>
      </c>
      <c r="C115" s="14" t="str">
        <f ca="1">Start.listina!V38</f>
        <v>Klouda</v>
      </c>
      <c r="D115" s="14" t="str">
        <f ca="1">Start.listina!W38</f>
        <v>Aleš</v>
      </c>
      <c r="E115" s="14" t="str">
        <f ca="1">Start.listina!X38</f>
        <v>Petank Club Praha</v>
      </c>
      <c r="F115" s="14"/>
      <c r="G115" s="121"/>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21"/>
      <c r="H116" s="7"/>
      <c r="I116" s="7"/>
    </row>
    <row r="117" spans="1:9">
      <c r="A117" s="14">
        <f ca="1">Start.listina!AH39</f>
        <v>2</v>
      </c>
      <c r="B117" s="14">
        <f ca="1">Start.listina!I39</f>
        <v>28006</v>
      </c>
      <c r="C117" s="227" t="str">
        <f ca="1">Start.listina!J39</f>
        <v>Grepl</v>
      </c>
      <c r="D117" s="14" t="str">
        <f ca="1">Start.listina!K39</f>
        <v>Jiří</v>
      </c>
      <c r="E117" s="14" t="str">
        <f ca="1">Start.listina!L39</f>
        <v>Carreau Brno</v>
      </c>
      <c r="F117" s="14"/>
      <c r="G117" s="121">
        <f ca="1">IF(N(A117)&gt;0,VLOOKUP(A117,Body!$A$4:$F$259,5,0),"")</f>
        <v>190.3721875</v>
      </c>
      <c r="H117" s="7">
        <f ca="1">IF(N(A117)&gt;0,VLOOKUP(A117,Body!$A$4:$F$259,6,0),"")</f>
        <v>0</v>
      </c>
      <c r="I117" s="7">
        <f ca="1">IF(N(A117)&gt;0,VLOOKUP(A117,Body!$A$4:$F$259,2,0),"")</f>
        <v>5</v>
      </c>
    </row>
    <row r="118" spans="1:9">
      <c r="A118" s="14"/>
      <c r="B118" s="14">
        <f ca="1">Start.listina!O39</f>
        <v>18060</v>
      </c>
      <c r="C118" s="14" t="str">
        <f ca="1">Start.listina!P39</f>
        <v>Kvítek</v>
      </c>
      <c r="D118" s="14" t="str">
        <f ca="1">Start.listina!Q39</f>
        <v>Franjo</v>
      </c>
      <c r="E118" s="14" t="str">
        <f ca="1">Start.listina!R39</f>
        <v>Orel Řečkovice</v>
      </c>
      <c r="F118" s="14"/>
      <c r="G118" s="121"/>
      <c r="H118" s="7"/>
      <c r="I118" s="7"/>
    </row>
    <row r="119" spans="1:9">
      <c r="A119" s="14"/>
      <c r="B119" s="14">
        <f ca="1">Start.listina!U39</f>
        <v>15008</v>
      </c>
      <c r="C119" s="14" t="str">
        <f ca="1">Start.listina!V39</f>
        <v>Skopal</v>
      </c>
      <c r="D119" s="14" t="str">
        <f ca="1">Start.listina!W39</f>
        <v>Radek</v>
      </c>
      <c r="E119" s="14" t="str">
        <f ca="1">Start.listina!X39</f>
        <v>Kulový blesk Olomouc</v>
      </c>
      <c r="F119" s="14"/>
      <c r="G119" s="121"/>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21"/>
      <c r="H120" s="7"/>
      <c r="I120" s="7"/>
    </row>
    <row r="121" spans="1:9">
      <c r="A121" s="14">
        <f>Start.listina!AH40</f>
        <v>48</v>
      </c>
      <c r="B121" s="14">
        <f ca="1">Start.listina!I40</f>
        <v>12038</v>
      </c>
      <c r="C121" s="227" t="str">
        <f ca="1">Start.listina!J40</f>
        <v>Krejčín</v>
      </c>
      <c r="D121" s="14" t="str">
        <f ca="1">Start.listina!K40</f>
        <v>Leoš</v>
      </c>
      <c r="E121" s="14" t="str">
        <f ca="1">Start.listina!L40</f>
        <v>SKP Kulová osma</v>
      </c>
      <c r="F121" s="14"/>
      <c r="G121" s="121">
        <f ca="1">IF(N(A121)&gt;0,VLOOKUP(A121,Body!$A$4:$F$259,5,0),"")</f>
        <v>19.037218750000001</v>
      </c>
      <c r="H121" s="7">
        <f ca="1">IF(N(A121)&gt;0,VLOOKUP(A121,Body!$A$4:$F$259,6,0),"")</f>
        <v>0</v>
      </c>
      <c r="I121" s="7">
        <f ca="1">IF(N(A121)&gt;0,VLOOKUP(A121,Body!$A$4:$F$259,2,0),"")</f>
        <v>0.5</v>
      </c>
    </row>
    <row r="122" spans="1:9">
      <c r="A122" s="14"/>
      <c r="B122" s="14">
        <f ca="1">Start.listina!O40</f>
        <v>15023</v>
      </c>
      <c r="C122" s="14" t="str">
        <f ca="1">Start.listina!P40</f>
        <v>Přibyl</v>
      </c>
      <c r="D122" s="14" t="str">
        <f ca="1">Start.listina!Q40</f>
        <v>Miloš</v>
      </c>
      <c r="E122" s="14" t="str">
        <f ca="1">Start.listina!R40</f>
        <v>SK Sahara Vědomice</v>
      </c>
      <c r="F122" s="14"/>
      <c r="G122" s="121"/>
      <c r="H122" s="7"/>
      <c r="I122" s="7"/>
    </row>
    <row r="123" spans="1:9">
      <c r="A123" s="14"/>
      <c r="B123" s="14">
        <f ca="1">Start.listina!U40</f>
        <v>12037</v>
      </c>
      <c r="C123" s="14" t="str">
        <f ca="1">Start.listina!V40</f>
        <v>Krejčínová</v>
      </c>
      <c r="D123" s="14" t="str">
        <f ca="1">Start.listina!W40</f>
        <v>Milena</v>
      </c>
      <c r="E123" s="14" t="str">
        <f ca="1">Start.listina!X40</f>
        <v>SKP Kulová osma</v>
      </c>
      <c r="F123" s="14"/>
      <c r="G123" s="121"/>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21"/>
      <c r="H124" s="7"/>
      <c r="I124" s="7"/>
    </row>
    <row r="125" spans="1:9">
      <c r="A125" s="14">
        <f ca="1">Start.listina!AH41</f>
        <v>32</v>
      </c>
      <c r="B125" s="14">
        <f ca="1">Start.listina!I41</f>
        <v>22119</v>
      </c>
      <c r="C125" s="227" t="str">
        <f ca="1">Start.listina!J41</f>
        <v>Šídlová</v>
      </c>
      <c r="D125" s="14" t="str">
        <f ca="1">Start.listina!K41</f>
        <v>Lucie</v>
      </c>
      <c r="E125" s="14" t="str">
        <f ca="1">Start.listina!L41</f>
        <v>PC Mimo Done</v>
      </c>
      <c r="F125" s="14"/>
      <c r="G125" s="121">
        <f ca="1">IF(N(A125)&gt;0,VLOOKUP(A125,Body!$A$4:$F$259,5,0),"")</f>
        <v>38.074437500000002</v>
      </c>
      <c r="H125" s="7">
        <f ca="1">IF(N(A125)&gt;0,VLOOKUP(A125,Body!$A$4:$F$259,6,0),"")</f>
        <v>0</v>
      </c>
      <c r="I125" s="7">
        <f ca="1">IF(N(A125)&gt;0,VLOOKUP(A125,Body!$A$4:$F$259,2,0),"")</f>
        <v>1</v>
      </c>
    </row>
    <row r="126" spans="1:9">
      <c r="A126" s="14"/>
      <c r="B126" s="14">
        <f ca="1">Start.listina!O41</f>
        <v>16151</v>
      </c>
      <c r="C126" s="14" t="str">
        <f ca="1">Start.listina!P41</f>
        <v>Kára</v>
      </c>
      <c r="D126" s="14" t="str">
        <f ca="1">Start.listina!Q41</f>
        <v>Jan</v>
      </c>
      <c r="E126" s="14" t="str">
        <f ca="1">Start.listina!R41</f>
        <v>PC Mimo Done</v>
      </c>
      <c r="F126" s="14"/>
      <c r="G126" s="121"/>
      <c r="H126" s="7"/>
      <c r="I126" s="7"/>
    </row>
    <row r="127" spans="1:9">
      <c r="A127" s="14"/>
      <c r="B127" s="14">
        <f ca="1">Start.listina!U41</f>
        <v>15068</v>
      </c>
      <c r="C127" s="14" t="str">
        <f ca="1">Start.listina!V41</f>
        <v>Žárský</v>
      </c>
      <c r="D127" s="14" t="str">
        <f ca="1">Start.listina!W41</f>
        <v>Kamil</v>
      </c>
      <c r="E127" s="14" t="str">
        <f ca="1">Start.listina!X41</f>
        <v>POP Praha</v>
      </c>
      <c r="F127" s="14"/>
      <c r="G127" s="121"/>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21"/>
      <c r="H128" s="7"/>
      <c r="I128" s="7"/>
    </row>
    <row r="129" spans="1:9">
      <c r="A129" s="14">
        <f>Start.listina!AH42</f>
        <v>48</v>
      </c>
      <c r="B129" s="14">
        <f ca="1">Start.listina!I42</f>
        <v>19025</v>
      </c>
      <c r="C129" s="227" t="str">
        <f ca="1">Start.listina!J42</f>
        <v>Maňák</v>
      </c>
      <c r="D129" s="14" t="str">
        <f ca="1">Start.listina!K42</f>
        <v>Jan</v>
      </c>
      <c r="E129" s="14" t="str">
        <f ca="1">Start.listina!L42</f>
        <v>Petank Club Praha</v>
      </c>
      <c r="F129" s="14"/>
      <c r="G129" s="121">
        <f ca="1">IF(N(A129)&gt;0,VLOOKUP(A129,Body!$A$4:$F$259,5,0),"")</f>
        <v>19.037218750000001</v>
      </c>
      <c r="H129" s="7">
        <f ca="1">IF(N(A129)&gt;0,VLOOKUP(A129,Body!$A$4:$F$259,6,0),"")</f>
        <v>0</v>
      </c>
      <c r="I129" s="7">
        <f ca="1">IF(N(A129)&gt;0,VLOOKUP(A129,Body!$A$4:$F$259,2,0),"")</f>
        <v>0.5</v>
      </c>
    </row>
    <row r="130" spans="1:9">
      <c r="A130" s="14"/>
      <c r="B130" s="14">
        <f ca="1">Start.listina!O42</f>
        <v>18055</v>
      </c>
      <c r="C130" s="14" t="str">
        <f ca="1">Start.listina!P42</f>
        <v>Dostál</v>
      </c>
      <c r="D130" s="14" t="str">
        <f ca="1">Start.listina!Q42</f>
        <v>Pavel</v>
      </c>
      <c r="E130" s="14" t="str">
        <f ca="1">Start.listina!R42</f>
        <v>Petank Club Praha</v>
      </c>
      <c r="F130" s="14"/>
      <c r="G130" s="121"/>
      <c r="H130" s="7"/>
      <c r="I130" s="7"/>
    </row>
    <row r="131" spans="1:9">
      <c r="A131" s="14"/>
      <c r="B131" s="14">
        <f ca="1">Start.listina!U42</f>
        <v>16117</v>
      </c>
      <c r="C131" s="14" t="str">
        <f ca="1">Start.listina!V42</f>
        <v>Stejskal</v>
      </c>
      <c r="D131" s="14" t="str">
        <f ca="1">Start.listina!W42</f>
        <v>Václav</v>
      </c>
      <c r="E131" s="14" t="str">
        <f ca="1">Start.listina!X42</f>
        <v>JAPKO</v>
      </c>
      <c r="F131" s="14"/>
      <c r="G131" s="121"/>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21"/>
      <c r="H132" s="7"/>
      <c r="I132" s="7"/>
    </row>
    <row r="133" spans="1:9">
      <c r="A133" s="14">
        <f>Start.listina!AH43</f>
        <v>32</v>
      </c>
      <c r="B133" s="14">
        <f ca="1">Start.listina!I43</f>
        <v>21053</v>
      </c>
      <c r="C133" s="227" t="str">
        <f ca="1">Start.listina!J43</f>
        <v>Ptáčková</v>
      </c>
      <c r="D133" s="14" t="str">
        <f ca="1">Start.listina!K43</f>
        <v>Eliška</v>
      </c>
      <c r="E133" s="14" t="str">
        <f ca="1">Start.listina!L43</f>
        <v>HRODE KRUMSÍN</v>
      </c>
      <c r="F133" s="14"/>
      <c r="G133" s="121">
        <f ca="1">IF(N(A133)&gt;0,VLOOKUP(A133,Body!$A$4:$F$259,5,0),"")</f>
        <v>38.074437500000002</v>
      </c>
      <c r="H133" s="7">
        <f ca="1">IF(N(A133)&gt;0,VLOOKUP(A133,Body!$A$4:$F$259,6,0),"")</f>
        <v>0</v>
      </c>
      <c r="I133" s="7">
        <f ca="1">IF(N(A133)&gt;0,VLOOKUP(A133,Body!$A$4:$F$259,2,0),"")</f>
        <v>1</v>
      </c>
    </row>
    <row r="134" spans="1:9">
      <c r="A134" s="14"/>
      <c r="B134" s="14">
        <f ca="1">Start.listina!O43</f>
        <v>20554</v>
      </c>
      <c r="C134" s="14" t="str">
        <f ca="1">Start.listina!P43</f>
        <v>Ptáček</v>
      </c>
      <c r="D134" s="14" t="str">
        <f ca="1">Start.listina!Q43</f>
        <v>Luboš</v>
      </c>
      <c r="E134" s="14" t="str">
        <f ca="1">Start.listina!R43</f>
        <v>HRODE KRUMSÍN</v>
      </c>
      <c r="F134" s="14"/>
      <c r="G134" s="121"/>
      <c r="H134" s="7"/>
      <c r="I134" s="7"/>
    </row>
    <row r="135" spans="1:9">
      <c r="A135" s="14"/>
      <c r="B135" s="14">
        <f ca="1">Start.listina!U43</f>
        <v>20579</v>
      </c>
      <c r="C135" s="14" t="str">
        <f ca="1">Start.listina!V43</f>
        <v>Rusková</v>
      </c>
      <c r="D135" s="14" t="str">
        <f ca="1">Start.listina!W43</f>
        <v>Rozálie</v>
      </c>
      <c r="E135" s="14" t="str">
        <f ca="1">Start.listina!X43</f>
        <v>PK Polouvsí</v>
      </c>
      <c r="F135" s="14"/>
      <c r="G135" s="121"/>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21"/>
      <c r="H136" s="7"/>
      <c r="I136" s="7"/>
    </row>
    <row r="137" spans="1:9">
      <c r="A137" s="14">
        <f>Start.listina!AH44</f>
        <v>48</v>
      </c>
      <c r="B137" s="14">
        <f ca="1">Start.listina!I44</f>
        <v>25011</v>
      </c>
      <c r="C137" s="227" t="str">
        <f ca="1">Start.listina!J44</f>
        <v>Jirkovský</v>
      </c>
      <c r="D137" s="14" t="str">
        <f ca="1">Start.listina!K44</f>
        <v>Tomáš</v>
      </c>
      <c r="E137" s="14" t="str">
        <f ca="1">Start.listina!L44</f>
        <v>CdP Loděnice</v>
      </c>
      <c r="F137" s="14"/>
      <c r="G137" s="121">
        <f ca="1">IF(N(A137)&gt;0,VLOOKUP(A137,Body!$A$4:$F$259,5,0),"")</f>
        <v>19.037218750000001</v>
      </c>
      <c r="H137" s="7">
        <f ca="1">IF(N(A137)&gt;0,VLOOKUP(A137,Body!$A$4:$F$259,6,0),"")</f>
        <v>0</v>
      </c>
      <c r="I137" s="7">
        <f ca="1">IF(N(A137)&gt;0,VLOOKUP(A137,Body!$A$4:$F$259,2,0),"")</f>
        <v>0.5</v>
      </c>
    </row>
    <row r="138" spans="1:9">
      <c r="A138" s="14"/>
      <c r="B138" s="14">
        <f ca="1">Start.listina!O44</f>
        <v>27062</v>
      </c>
      <c r="C138" s="14" t="str">
        <f ca="1">Start.listina!P44</f>
        <v>Mrlina</v>
      </c>
      <c r="D138" s="14" t="str">
        <f ca="1">Start.listina!Q44</f>
        <v>Karel</v>
      </c>
      <c r="E138" s="14" t="str">
        <f ca="1">Start.listina!R44</f>
        <v>FENYX Adamov</v>
      </c>
      <c r="F138" s="14"/>
      <c r="G138" s="121"/>
      <c r="H138" s="7"/>
      <c r="I138" s="7"/>
    </row>
    <row r="139" spans="1:9">
      <c r="A139" s="14"/>
      <c r="B139" s="14">
        <f ca="1">Start.listina!U44</f>
        <v>11031</v>
      </c>
      <c r="C139" s="14" t="str">
        <f ca="1">Start.listina!V44</f>
        <v>Šipr</v>
      </c>
      <c r="D139" s="14" t="str">
        <f ca="1">Start.listina!W44</f>
        <v>Jiří</v>
      </c>
      <c r="E139" s="14" t="str">
        <f ca="1">Start.listina!X44</f>
        <v>1. Starobrněnský PK</v>
      </c>
      <c r="F139" s="14"/>
      <c r="G139" s="121"/>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21"/>
      <c r="H140" s="7"/>
      <c r="I140" s="7"/>
    </row>
    <row r="141" spans="1:9">
      <c r="A141" s="14">
        <f ca="1">Start.listina!AH45</f>
        <v>32</v>
      </c>
      <c r="B141" s="14">
        <f ca="1">Start.listina!I45</f>
        <v>15060</v>
      </c>
      <c r="C141" s="227" t="str">
        <f ca="1">Start.listina!J45</f>
        <v>Horálek</v>
      </c>
      <c r="D141" s="14" t="str">
        <f ca="1">Start.listina!K45</f>
        <v>Jiří</v>
      </c>
      <c r="E141" s="14" t="str">
        <f ca="1">Start.listina!L45</f>
        <v>PKT Velký Šanc</v>
      </c>
      <c r="F141" s="14"/>
      <c r="G141" s="121">
        <f ca="1">IF(N(A141)&gt;0,VLOOKUP(A141,Body!$A$4:$F$259,5,0),"")</f>
        <v>38.074437500000002</v>
      </c>
      <c r="H141" s="7">
        <f ca="1">IF(N(A141)&gt;0,VLOOKUP(A141,Body!$A$4:$F$259,6,0),"")</f>
        <v>0</v>
      </c>
      <c r="I141" s="7">
        <f ca="1">IF(N(A141)&gt;0,VLOOKUP(A141,Body!$A$4:$F$259,2,0),"")</f>
        <v>1</v>
      </c>
    </row>
    <row r="142" spans="1:9">
      <c r="A142" s="14"/>
      <c r="B142" s="14">
        <f ca="1">Start.listina!O45</f>
        <v>17090</v>
      </c>
      <c r="C142" s="14" t="str">
        <f ca="1">Start.listina!P45</f>
        <v>Sedláčková</v>
      </c>
      <c r="D142" s="14" t="str">
        <f ca="1">Start.listina!Q45</f>
        <v>Marie</v>
      </c>
      <c r="E142" s="14" t="str">
        <f ca="1">Start.listina!R45</f>
        <v>PKT Velký Šanc</v>
      </c>
      <c r="F142" s="14"/>
      <c r="G142" s="121"/>
      <c r="H142" s="7"/>
      <c r="I142" s="7"/>
    </row>
    <row r="143" spans="1:9">
      <c r="A143" s="14"/>
      <c r="B143" s="14">
        <f ca="1">Start.listina!U45</f>
        <v>18130</v>
      </c>
      <c r="C143" s="14" t="str">
        <f ca="1">Start.listina!V45</f>
        <v>Semrád</v>
      </c>
      <c r="D143" s="14" t="str">
        <f ca="1">Start.listina!W45</f>
        <v>Oldřich</v>
      </c>
      <c r="E143" s="14" t="str">
        <f ca="1">Start.listina!X45</f>
        <v>PKT Velký Šanc</v>
      </c>
      <c r="F143" s="14"/>
      <c r="G143" s="121"/>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21"/>
      <c r="H144" s="7"/>
      <c r="I144" s="7"/>
    </row>
    <row r="145" spans="1:9">
      <c r="A145" s="14">
        <f>Start.listina!AH46</f>
        <v>48</v>
      </c>
      <c r="B145" s="14">
        <f ca="1">Start.listina!I46</f>
        <v>24271</v>
      </c>
      <c r="C145" s="227" t="str">
        <f ca="1">Start.listina!J46</f>
        <v>Rolínek</v>
      </c>
      <c r="D145" s="14" t="str">
        <f ca="1">Start.listina!K46</f>
        <v>Michal</v>
      </c>
      <c r="E145" s="14" t="str">
        <f ca="1">Start.listina!L46</f>
        <v>HRODE KRUMSÍN</v>
      </c>
      <c r="F145" s="14"/>
      <c r="G145" s="121">
        <f ca="1">IF(N(A145)&gt;0,VLOOKUP(A145,Body!$A$4:$F$259,5,0),"")</f>
        <v>19.037218750000001</v>
      </c>
      <c r="H145" s="7">
        <f ca="1">IF(N(A145)&gt;0,VLOOKUP(A145,Body!$A$4:$F$259,6,0),"")</f>
        <v>0</v>
      </c>
      <c r="I145" s="7">
        <f ca="1">IF(N(A145)&gt;0,VLOOKUP(A145,Body!$A$4:$F$259,2,0),"")</f>
        <v>0.5</v>
      </c>
    </row>
    <row r="146" spans="1:9">
      <c r="A146" s="14"/>
      <c r="B146" s="14">
        <f ca="1">Start.listina!O46</f>
        <v>18063</v>
      </c>
      <c r="C146" s="14" t="str">
        <f ca="1">Start.listina!P46</f>
        <v>Louda</v>
      </c>
      <c r="D146" s="14" t="str">
        <f ca="1">Start.listina!Q46</f>
        <v>Vladimír</v>
      </c>
      <c r="E146" s="14" t="str">
        <f ca="1">Start.listina!R46</f>
        <v>PC Sokol Lipník</v>
      </c>
      <c r="F146" s="14"/>
      <c r="G146" s="121"/>
      <c r="H146" s="7"/>
      <c r="I146" s="7"/>
    </row>
    <row r="147" spans="1:9">
      <c r="A147" s="14"/>
      <c r="B147" s="14">
        <f ca="1">Start.listina!U46</f>
        <v>98482</v>
      </c>
      <c r="C147" s="14" t="str">
        <f ca="1">Start.listina!V46</f>
        <v>Marcián</v>
      </c>
      <c r="D147" s="14" t="str">
        <f ca="1">Start.listina!W46</f>
        <v>Vladimír</v>
      </c>
      <c r="E147" s="14" t="str">
        <f ca="1">Start.listina!X46</f>
        <v>HRODE KRUMSÍN</v>
      </c>
      <c r="F147" s="14"/>
      <c r="G147" s="121"/>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21"/>
      <c r="H148" s="7"/>
      <c r="I148" s="7"/>
    </row>
    <row r="149" spans="1:9">
      <c r="A149" s="14">
        <f ca="1">Start.listina!AH47</f>
        <v>32</v>
      </c>
      <c r="B149" s="14">
        <f ca="1">Start.listina!I47</f>
        <v>16010</v>
      </c>
      <c r="C149" s="227" t="str">
        <f ca="1">Start.listina!J47</f>
        <v>Šplechtová</v>
      </c>
      <c r="D149" s="14" t="str">
        <f ca="1">Start.listina!K47</f>
        <v>Dana</v>
      </c>
      <c r="E149" s="14" t="str">
        <f ca="1">Start.listina!L47</f>
        <v>PC Sokol Lipník</v>
      </c>
      <c r="F149" s="14"/>
      <c r="G149" s="121">
        <f ca="1">IF(N(A149)&gt;0,VLOOKUP(A149,Body!$A$4:$F$259,5,0),"")</f>
        <v>38.074437500000002</v>
      </c>
      <c r="H149" s="7">
        <f ca="1">IF(N(A149)&gt;0,VLOOKUP(A149,Body!$A$4:$F$259,6,0),"")</f>
        <v>0</v>
      </c>
      <c r="I149" s="7">
        <f ca="1">IF(N(A149)&gt;0,VLOOKUP(A149,Body!$A$4:$F$259,2,0),"")</f>
        <v>1</v>
      </c>
    </row>
    <row r="150" spans="1:9">
      <c r="A150" s="14"/>
      <c r="B150" s="14">
        <f ca="1">Start.listina!O47</f>
        <v>13044</v>
      </c>
      <c r="C150" s="14" t="str">
        <f ca="1">Start.listina!P47</f>
        <v>Fafková</v>
      </c>
      <c r="D150" s="14" t="str">
        <f ca="1">Start.listina!Q47</f>
        <v>Jana</v>
      </c>
      <c r="E150" s="14" t="str">
        <f ca="1">Start.listina!R47</f>
        <v>PC Sokol Lipník</v>
      </c>
      <c r="F150" s="14"/>
      <c r="G150" s="121"/>
      <c r="H150" s="7"/>
      <c r="I150" s="7"/>
    </row>
    <row r="151" spans="1:9">
      <c r="A151" s="14"/>
      <c r="B151" s="14">
        <f ca="1">Start.listina!U47</f>
        <v>21913</v>
      </c>
      <c r="C151" s="14" t="str">
        <f ca="1">Start.listina!V47</f>
        <v>Korešová</v>
      </c>
      <c r="D151" s="14" t="str">
        <f ca="1">Start.listina!W47</f>
        <v>Alena</v>
      </c>
      <c r="E151" s="14" t="str">
        <f ca="1">Start.listina!X47</f>
        <v>HAVAJ CB</v>
      </c>
      <c r="F151" s="14"/>
      <c r="G151" s="121"/>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21"/>
      <c r="H152" s="7"/>
      <c r="I152" s="7"/>
    </row>
    <row r="153" spans="1:9">
      <c r="A153" s="14">
        <f ca="1">Start.listina!AH48</f>
        <v>59</v>
      </c>
      <c r="B153" s="14">
        <f ca="1">Start.listina!I48</f>
        <v>20532</v>
      </c>
      <c r="C153" s="227" t="str">
        <f ca="1">Start.listina!J48</f>
        <v>Křížek</v>
      </c>
      <c r="D153" s="14" t="str">
        <f ca="1">Start.listina!K48</f>
        <v>Evžen</v>
      </c>
      <c r="E153" s="14" t="str">
        <f ca="1">Start.listina!L48</f>
        <v>UBU Únětice</v>
      </c>
      <c r="F153" s="14"/>
      <c r="G153" s="121">
        <f ca="1">IF(N(A153)&gt;0,VLOOKUP(A153,Body!$A$4:$F$259,5,0),"")</f>
        <v>1</v>
      </c>
      <c r="H153" s="7">
        <f ca="1">IF(N(A153)&gt;0,VLOOKUP(A153,Body!$A$4:$F$259,6,0),"")</f>
        <v>0</v>
      </c>
      <c r="I153" s="7">
        <f ca="1">IF(N(A153)&gt;0,VLOOKUP(A153,Body!$A$4:$F$259,2,0),"")</f>
        <v>0</v>
      </c>
    </row>
    <row r="154" spans="1:9">
      <c r="A154" s="14"/>
      <c r="B154" s="14">
        <f ca="1">Start.listina!O48</f>
        <v>20534</v>
      </c>
      <c r="C154" s="14" t="str">
        <f ca="1">Start.listina!P48</f>
        <v>Váňová</v>
      </c>
      <c r="D154" s="14" t="str">
        <f ca="1">Start.listina!Q48</f>
        <v>Věra</v>
      </c>
      <c r="E154" s="14" t="str">
        <f ca="1">Start.listina!R48</f>
        <v>SK Pétanque Řepy</v>
      </c>
      <c r="F154" s="14"/>
      <c r="G154" s="121"/>
      <c r="H154" s="7"/>
      <c r="I154" s="7"/>
    </row>
    <row r="155" spans="1:9">
      <c r="A155" s="14"/>
      <c r="B155" s="14">
        <f ca="1">Start.listina!U48</f>
        <v>22182</v>
      </c>
      <c r="C155" s="14" t="str">
        <f ca="1">Start.listina!V48</f>
        <v>Staneková</v>
      </c>
      <c r="D155" s="14" t="str">
        <f ca="1">Start.listina!W48</f>
        <v>Gabriela</v>
      </c>
      <c r="E155" s="14" t="str">
        <f ca="1">Start.listina!X48</f>
        <v>PC Damníkov</v>
      </c>
      <c r="F155" s="14"/>
      <c r="G155" s="121"/>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21"/>
      <c r="H156" s="7"/>
      <c r="I156" s="7"/>
    </row>
    <row r="157" spans="1:9">
      <c r="A157" s="14">
        <f>Start.listina!AH49</f>
        <v>48</v>
      </c>
      <c r="B157" s="14">
        <f ca="1">Start.listina!I49</f>
        <v>23248</v>
      </c>
      <c r="C157" s="227" t="str">
        <f ca="1">Start.listina!J49</f>
        <v>Mareček</v>
      </c>
      <c r="D157" s="14" t="str">
        <f ca="1">Start.listina!K49</f>
        <v>Pavel</v>
      </c>
      <c r="E157" s="14" t="str">
        <f ca="1">Start.listina!L49</f>
        <v>Orel Řečkovice</v>
      </c>
      <c r="F157" s="14"/>
      <c r="G157" s="121">
        <f ca="1">IF(N(A157)&gt;0,VLOOKUP(A157,Body!$A$4:$F$259,5,0),"")</f>
        <v>19.037218750000001</v>
      </c>
      <c r="H157" s="7">
        <f ca="1">IF(N(A157)&gt;0,VLOOKUP(A157,Body!$A$4:$F$259,6,0),"")</f>
        <v>0</v>
      </c>
      <c r="I157" s="7">
        <f ca="1">IF(N(A157)&gt;0,VLOOKUP(A157,Body!$A$4:$F$259,2,0),"")</f>
        <v>0.5</v>
      </c>
    </row>
    <row r="158" spans="1:9">
      <c r="A158" s="14"/>
      <c r="B158" s="14">
        <f ca="1">Start.listina!O49</f>
        <v>18131</v>
      </c>
      <c r="C158" s="14" t="str">
        <f ca="1">Start.listina!P49</f>
        <v>Marečková</v>
      </c>
      <c r="D158" s="14" t="str">
        <f ca="1">Start.listina!Q49</f>
        <v>Yvonne</v>
      </c>
      <c r="E158" s="14" t="str">
        <f ca="1">Start.listina!R49</f>
        <v>Orel Řečkovice</v>
      </c>
      <c r="F158" s="14"/>
      <c r="G158" s="121"/>
      <c r="H158" s="7"/>
      <c r="I158" s="7"/>
    </row>
    <row r="159" spans="1:9">
      <c r="A159" s="14"/>
      <c r="B159" s="14">
        <f ca="1">Start.listina!U49</f>
        <v>18001</v>
      </c>
      <c r="C159" s="14" t="str">
        <f ca="1">Start.listina!V49</f>
        <v>Matuška</v>
      </c>
      <c r="D159" s="14" t="str">
        <f ca="1">Start.listina!W49</f>
        <v>Vladimír</v>
      </c>
      <c r="E159" s="14" t="str">
        <f ca="1">Start.listina!X49</f>
        <v>Orel Řečkovice</v>
      </c>
      <c r="F159" s="14"/>
      <c r="G159" s="121"/>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21"/>
      <c r="H160" s="7"/>
      <c r="I160" s="7"/>
    </row>
    <row r="161" spans="1:9">
      <c r="A161" s="14">
        <f ca="1">Start.listina!AH50</f>
        <v>32</v>
      </c>
      <c r="B161" s="14">
        <f ca="1">Start.listina!I50</f>
        <v>20527</v>
      </c>
      <c r="C161" s="227" t="str">
        <f ca="1">Start.listina!J50</f>
        <v>Šíma</v>
      </c>
      <c r="D161" s="14" t="str">
        <f ca="1">Start.listina!K50</f>
        <v>Jaroslav</v>
      </c>
      <c r="E161" s="14" t="str">
        <f ca="1">Start.listina!L50</f>
        <v>PC Mimo Done</v>
      </c>
      <c r="F161" s="14"/>
      <c r="G161" s="121">
        <f ca="1">IF(N(A161)&gt;0,VLOOKUP(A161,Body!$A$4:$F$259,5,0),"")</f>
        <v>38.074437500000002</v>
      </c>
      <c r="H161" s="7">
        <f ca="1">IF(N(A161)&gt;0,VLOOKUP(A161,Body!$A$4:$F$259,6,0),"")</f>
        <v>0</v>
      </c>
      <c r="I161" s="7">
        <f ca="1">IF(N(A161)&gt;0,VLOOKUP(A161,Body!$A$4:$F$259,2,0),"")</f>
        <v>1</v>
      </c>
    </row>
    <row r="162" spans="1:9">
      <c r="A162" s="14"/>
      <c r="B162" s="14">
        <f ca="1">Start.listina!O50</f>
        <v>20513</v>
      </c>
      <c r="C162" s="14" t="str">
        <f ca="1">Start.listina!P50</f>
        <v>Hochmann</v>
      </c>
      <c r="D162" s="14" t="str">
        <f ca="1">Start.listina!Q50</f>
        <v>Lukáš</v>
      </c>
      <c r="E162" s="14" t="str">
        <f ca="1">Start.listina!R50</f>
        <v>PC Sokol PP Hr. Králové</v>
      </c>
      <c r="F162" s="14"/>
      <c r="G162" s="121"/>
      <c r="H162" s="7"/>
      <c r="I162" s="7"/>
    </row>
    <row r="163" spans="1:9">
      <c r="A163" s="14"/>
      <c r="B163" s="14">
        <f ca="1">Start.listina!U50</f>
        <v>22179</v>
      </c>
      <c r="C163" s="14" t="str">
        <f ca="1">Start.listina!V50</f>
        <v>Hlucho-Horvát</v>
      </c>
      <c r="D163" s="14" t="str">
        <f ca="1">Start.listina!W50</f>
        <v>Ladislav</v>
      </c>
      <c r="E163" s="14" t="str">
        <f ca="1">Start.listina!X50</f>
        <v>PC Mimo Done</v>
      </c>
      <c r="F163" s="14"/>
      <c r="G163" s="121"/>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21"/>
      <c r="H164" s="7"/>
      <c r="I164" s="7"/>
    </row>
    <row r="165" spans="1:9">
      <c r="A165" s="14">
        <f ca="1">Start.listina!AH51</f>
        <v>16</v>
      </c>
      <c r="B165" s="14">
        <f ca="1">Start.listina!I51</f>
        <v>10012</v>
      </c>
      <c r="C165" s="227" t="str">
        <f ca="1">Start.listina!J51</f>
        <v>Melgr</v>
      </c>
      <c r="D165" s="14" t="str">
        <f ca="1">Start.listina!K51</f>
        <v>Jan</v>
      </c>
      <c r="E165" s="14" t="str">
        <f ca="1">Start.listina!L51</f>
        <v>PC Sokol PP Hr. Králové</v>
      </c>
      <c r="F165" s="14"/>
      <c r="G165" s="121">
        <f ca="1">IF(N(A165)&gt;0,VLOOKUP(A165,Body!$A$4:$F$259,5,0),"")</f>
        <v>76.148875000000004</v>
      </c>
      <c r="H165" s="7">
        <f ca="1">IF(N(A165)&gt;0,VLOOKUP(A165,Body!$A$4:$F$259,6,0),"")</f>
        <v>0</v>
      </c>
      <c r="I165" s="7">
        <f ca="1">IF(N(A165)&gt;0,VLOOKUP(A165,Body!$A$4:$F$259,2,0),"")</f>
        <v>2</v>
      </c>
    </row>
    <row r="166" spans="1:9">
      <c r="A166" s="14"/>
      <c r="B166" s="14">
        <f ca="1">Start.listina!O51</f>
        <v>22111</v>
      </c>
      <c r="C166" s="14" t="str">
        <f ca="1">Start.listina!P51</f>
        <v>Kopečný</v>
      </c>
      <c r="D166" s="14" t="str">
        <f ca="1">Start.listina!Q51</f>
        <v>David</v>
      </c>
      <c r="E166" s="14" t="str">
        <f ca="1">Start.listina!R51</f>
        <v>PC Sokol PP Hr. Králové</v>
      </c>
      <c r="F166" s="14"/>
      <c r="G166" s="121"/>
      <c r="H166" s="7"/>
      <c r="I166" s="7"/>
    </row>
    <row r="167" spans="1:9">
      <c r="A167" s="14"/>
      <c r="B167" s="14">
        <f ca="1">Start.listina!U51</f>
        <v>20511</v>
      </c>
      <c r="C167" s="14" t="str">
        <f ca="1">Start.listina!V51</f>
        <v>Malina</v>
      </c>
      <c r="D167" s="14" t="str">
        <f ca="1">Start.listina!W51</f>
        <v>František</v>
      </c>
      <c r="E167" s="14" t="str">
        <f ca="1">Start.listina!X51</f>
        <v>PC Sokol PP Hr. Králové</v>
      </c>
      <c r="F167" s="14"/>
      <c r="G167" s="121"/>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21"/>
      <c r="H168" s="7"/>
      <c r="I168" s="7"/>
    </row>
    <row r="169" spans="1:9">
      <c r="A169" s="14">
        <f ca="1">Start.listina!AH52</f>
        <v>32</v>
      </c>
      <c r="B169" s="14">
        <f ca="1">Start.listina!I52</f>
        <v>21836</v>
      </c>
      <c r="C169" s="227" t="str">
        <f ca="1">Start.listina!J52</f>
        <v>Piller</v>
      </c>
      <c r="D169" s="14" t="str">
        <f ca="1">Start.listina!K52</f>
        <v>Tomáš</v>
      </c>
      <c r="E169" s="14" t="str">
        <f ca="1">Start.listina!L52</f>
        <v>SK Sahara Vědomice</v>
      </c>
      <c r="F169" s="14"/>
      <c r="G169" s="121">
        <f ca="1">IF(N(A169)&gt;0,VLOOKUP(A169,Body!$A$4:$F$259,5,0),"")</f>
        <v>38.074437500000002</v>
      </c>
      <c r="H169" s="7">
        <f ca="1">IF(N(A169)&gt;0,VLOOKUP(A169,Body!$A$4:$F$259,6,0),"")</f>
        <v>0</v>
      </c>
      <c r="I169" s="7">
        <f ca="1">IF(N(A169)&gt;0,VLOOKUP(A169,Body!$A$4:$F$259,2,0),"")</f>
        <v>1</v>
      </c>
    </row>
    <row r="170" spans="1:9">
      <c r="A170" s="14"/>
      <c r="B170" s="14">
        <f ca="1">Start.listina!O52</f>
        <v>28001</v>
      </c>
      <c r="C170" s="14" t="str">
        <f ca="1">Start.listina!P52</f>
        <v>Pillerová</v>
      </c>
      <c r="D170" s="14" t="str">
        <f ca="1">Start.listina!Q52</f>
        <v>Monika</v>
      </c>
      <c r="E170" s="14" t="str">
        <f ca="1">Start.listina!R52</f>
        <v>SK Sahara Vědomice</v>
      </c>
      <c r="F170" s="14"/>
      <c r="G170" s="121"/>
      <c r="H170" s="7"/>
      <c r="I170" s="7"/>
    </row>
    <row r="171" spans="1:9">
      <c r="A171" s="14"/>
      <c r="B171" s="14">
        <f ca="1">Start.listina!U52</f>
        <v>99510</v>
      </c>
      <c r="C171" s="14" t="str">
        <f ca="1">Start.listina!V52</f>
        <v>Demčík</v>
      </c>
      <c r="D171" s="14" t="str">
        <f ca="1">Start.listina!W52</f>
        <v>Milan</v>
      </c>
      <c r="E171" s="14" t="str">
        <f ca="1">Start.listina!X52</f>
        <v>SK Sahara Vědomice</v>
      </c>
      <c r="F171" s="14"/>
      <c r="G171" s="121"/>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21"/>
      <c r="H172" s="7"/>
      <c r="I172" s="7"/>
    </row>
    <row r="173" spans="1:9">
      <c r="A173" s="14">
        <f ca="1">Start.listina!AH53</f>
        <v>59</v>
      </c>
      <c r="B173" s="14">
        <f ca="1">Start.listina!I53</f>
        <v>21026</v>
      </c>
      <c r="C173" s="227" t="str">
        <f ca="1">Start.listina!J53</f>
        <v>Vodehnalová</v>
      </c>
      <c r="D173" s="14" t="str">
        <f ca="1">Start.listina!K53</f>
        <v>Jindra</v>
      </c>
      <c r="E173" s="14" t="str">
        <f ca="1">Start.listina!L53</f>
        <v>SK Pétanque Řepy</v>
      </c>
      <c r="F173" s="14"/>
      <c r="G173" s="121">
        <f ca="1">IF(N(A173)&gt;0,VLOOKUP(A173,Body!$A$4:$F$259,5,0),"")</f>
        <v>1</v>
      </c>
      <c r="H173" s="7">
        <f ca="1">IF(N(A173)&gt;0,VLOOKUP(A173,Body!$A$4:$F$259,6,0),"")</f>
        <v>0</v>
      </c>
      <c r="I173" s="7">
        <f ca="1">IF(N(A173)&gt;0,VLOOKUP(A173,Body!$A$4:$F$259,2,0),"")</f>
        <v>0</v>
      </c>
    </row>
    <row r="174" spans="1:9">
      <c r="A174" s="14"/>
      <c r="B174" s="14">
        <f ca="1">Start.listina!O53</f>
        <v>21025</v>
      </c>
      <c r="C174" s="14" t="str">
        <f ca="1">Start.listina!P53</f>
        <v>Vodehnal</v>
      </c>
      <c r="D174" s="14" t="str">
        <f ca="1">Start.listina!Q53</f>
        <v>Zdeněk</v>
      </c>
      <c r="E174" s="14" t="str">
        <f ca="1">Start.listina!R53</f>
        <v>SK Pétanque Řepy</v>
      </c>
      <c r="F174" s="14"/>
      <c r="G174" s="121"/>
      <c r="H174" s="7"/>
      <c r="I174" s="7"/>
    </row>
    <row r="175" spans="1:9">
      <c r="A175" s="14"/>
      <c r="B175" s="14">
        <f ca="1">Start.listina!U53</f>
        <v>12042</v>
      </c>
      <c r="C175" s="14" t="str">
        <f ca="1">Start.listina!V53</f>
        <v>Pilát</v>
      </c>
      <c r="D175" s="14" t="str">
        <f ca="1">Start.listina!W53</f>
        <v>Petr</v>
      </c>
      <c r="E175" s="14" t="str">
        <f ca="1">Start.listina!X53</f>
        <v>SKP Kulová osma</v>
      </c>
      <c r="F175" s="14"/>
      <c r="G175" s="121"/>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21"/>
      <c r="H176" s="7"/>
      <c r="I176" s="7"/>
    </row>
    <row r="177" spans="1:9">
      <c r="A177" s="14">
        <f ca="1">Start.listina!AH54</f>
        <v>59</v>
      </c>
      <c r="B177" s="14">
        <f ca="1">Start.listina!I54</f>
        <v>15011</v>
      </c>
      <c r="C177" s="227" t="str">
        <f ca="1">Start.listina!J54</f>
        <v>Chmelař</v>
      </c>
      <c r="D177" s="14" t="str">
        <f ca="1">Start.listina!K54</f>
        <v>Ivo</v>
      </c>
      <c r="E177" s="14" t="str">
        <f ca="1">Start.listina!L54</f>
        <v>SKP Kulová osma</v>
      </c>
      <c r="F177" s="14"/>
      <c r="G177" s="121">
        <f ca="1">IF(N(A177)&gt;0,VLOOKUP(A177,Body!$A$4:$F$259,5,0),"")</f>
        <v>1</v>
      </c>
      <c r="H177" s="7">
        <f ca="1">IF(N(A177)&gt;0,VLOOKUP(A177,Body!$A$4:$F$259,6,0),"")</f>
        <v>0</v>
      </c>
      <c r="I177" s="7">
        <f ca="1">IF(N(A177)&gt;0,VLOOKUP(A177,Body!$A$4:$F$259,2,0),"")</f>
        <v>0</v>
      </c>
    </row>
    <row r="178" spans="1:9">
      <c r="A178" s="14"/>
      <c r="B178" s="14">
        <f ca="1">Start.listina!O54</f>
        <v>15010</v>
      </c>
      <c r="C178" s="14" t="str">
        <f ca="1">Start.listina!P54</f>
        <v>Chmelařová</v>
      </c>
      <c r="D178" s="14" t="str">
        <f ca="1">Start.listina!Q54</f>
        <v>Yvetta</v>
      </c>
      <c r="E178" s="14" t="str">
        <f ca="1">Start.listina!R54</f>
        <v>SKP Kulová osma</v>
      </c>
      <c r="F178" s="14"/>
      <c r="G178" s="121"/>
      <c r="H178" s="7"/>
      <c r="I178" s="7"/>
    </row>
    <row r="179" spans="1:9">
      <c r="A179" s="14"/>
      <c r="B179" s="14">
        <f ca="1">Start.listina!U54</f>
        <v>20573</v>
      </c>
      <c r="C179" s="14" t="str">
        <f ca="1">Start.listina!V54</f>
        <v>Vávrová</v>
      </c>
      <c r="D179" s="14" t="str">
        <f ca="1">Start.listina!W54</f>
        <v>Ivana</v>
      </c>
      <c r="E179" s="14" t="str">
        <f ca="1">Start.listina!X54</f>
        <v>PC Sokol PP Hr. Králové</v>
      </c>
      <c r="F179" s="14"/>
      <c r="G179" s="121"/>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21"/>
      <c r="H180" s="7"/>
      <c r="I180" s="7"/>
    </row>
    <row r="181" spans="1:9">
      <c r="A181" s="14">
        <f>Start.listina!AH55</f>
        <v>48</v>
      </c>
      <c r="B181" s="14">
        <f ca="1">Start.listina!I55</f>
        <v>23257</v>
      </c>
      <c r="C181" s="227" t="str">
        <f ca="1">Start.listina!J55</f>
        <v>Lujková</v>
      </c>
      <c r="D181" s="14" t="str">
        <f ca="1">Start.listina!K55</f>
        <v>Klára</v>
      </c>
      <c r="E181" s="14" t="str">
        <f ca="1">Start.listina!L55</f>
        <v>PSK Jihlava</v>
      </c>
      <c r="F181" s="14"/>
      <c r="G181" s="121">
        <f ca="1">IF(N(A181)&gt;0,VLOOKUP(A181,Body!$A$4:$F$259,5,0),"")</f>
        <v>19.037218750000001</v>
      </c>
      <c r="H181" s="7">
        <f ca="1">IF(N(A181)&gt;0,VLOOKUP(A181,Body!$A$4:$F$259,6,0),"")</f>
        <v>0</v>
      </c>
      <c r="I181" s="7">
        <f ca="1">IF(N(A181)&gt;0,VLOOKUP(A181,Body!$A$4:$F$259,2,0),"")</f>
        <v>0.5</v>
      </c>
    </row>
    <row r="182" spans="1:9">
      <c r="A182" s="14"/>
      <c r="B182" s="14">
        <f ca="1">Start.listina!O55</f>
        <v>23256</v>
      </c>
      <c r="C182" s="14" t="str">
        <f ca="1">Start.listina!P55</f>
        <v>Krupica</v>
      </c>
      <c r="D182" s="14" t="str">
        <f ca="1">Start.listina!Q55</f>
        <v>František</v>
      </c>
      <c r="E182" s="14" t="str">
        <f ca="1">Start.listina!R55</f>
        <v>PSK Jihlava</v>
      </c>
      <c r="F182" s="14"/>
      <c r="G182" s="121"/>
      <c r="H182" s="7"/>
      <c r="I182" s="7"/>
    </row>
    <row r="183" spans="1:9">
      <c r="A183" s="14"/>
      <c r="B183" s="14">
        <f ca="1">Start.listina!U55</f>
        <v>20602</v>
      </c>
      <c r="C183" s="14" t="str">
        <f ca="1">Start.listina!V55</f>
        <v>Flek</v>
      </c>
      <c r="D183" s="14" t="str">
        <f ca="1">Start.listina!W55</f>
        <v>Vratislav</v>
      </c>
      <c r="E183" s="14" t="str">
        <f ca="1">Start.listina!X55</f>
        <v>PSK Jihlava</v>
      </c>
      <c r="F183" s="14"/>
      <c r="G183" s="121"/>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21"/>
      <c r="H184" s="7"/>
      <c r="I184" s="7"/>
    </row>
    <row r="185" spans="1:9">
      <c r="A185" s="14">
        <f>Start.listina!AH56</f>
        <v>48</v>
      </c>
      <c r="B185" s="14">
        <f ca="1">Start.listina!I56</f>
        <v>25003</v>
      </c>
      <c r="C185" s="227" t="str">
        <f ca="1">Start.listina!J56</f>
        <v>Horáčková</v>
      </c>
      <c r="D185" s="14" t="str">
        <f ca="1">Start.listina!K56</f>
        <v>Simona</v>
      </c>
      <c r="E185" s="14" t="str">
        <f ca="1">Start.listina!L56</f>
        <v>SK Sahara Vědomice</v>
      </c>
      <c r="F185" s="14"/>
      <c r="G185" s="121">
        <f ca="1">IF(N(A185)&gt;0,VLOOKUP(A185,Body!$A$4:$F$259,5,0),"")</f>
        <v>19.037218750000001</v>
      </c>
      <c r="H185" s="7">
        <f ca="1">IF(N(A185)&gt;0,VLOOKUP(A185,Body!$A$4:$F$259,6,0),"")</f>
        <v>0</v>
      </c>
      <c r="I185" s="7">
        <f ca="1">IF(N(A185)&gt;0,VLOOKUP(A185,Body!$A$4:$F$259,2,0),"")</f>
        <v>0.5</v>
      </c>
    </row>
    <row r="186" spans="1:9">
      <c r="A186" s="14"/>
      <c r="B186" s="14">
        <f ca="1">Start.listina!O56</f>
        <v>11006</v>
      </c>
      <c r="C186" s="14" t="str">
        <f ca="1">Start.listina!P56</f>
        <v>Kulhánek</v>
      </c>
      <c r="D186" s="14" t="str">
        <f ca="1">Start.listina!Q56</f>
        <v>Milan</v>
      </c>
      <c r="E186" s="14" t="str">
        <f ca="1">Start.listina!R56</f>
        <v>SK Sahara Vědomice</v>
      </c>
      <c r="F186" s="14"/>
      <c r="G186" s="121"/>
      <c r="H186" s="7"/>
      <c r="I186" s="7"/>
    </row>
    <row r="187" spans="1:9">
      <c r="A187" s="14"/>
      <c r="B187" s="14">
        <f ca="1">Start.listina!U56</f>
        <v>15059</v>
      </c>
      <c r="C187" s="14" t="str">
        <f ca="1">Start.listina!V56</f>
        <v>Gröschl</v>
      </c>
      <c r="D187" s="14" t="str">
        <f ca="1">Start.listina!W56</f>
        <v>Zdeněk</v>
      </c>
      <c r="E187" s="14" t="str">
        <f ca="1">Start.listina!X56</f>
        <v>SK Sahara Vědomice</v>
      </c>
      <c r="F187" s="14"/>
      <c r="G187" s="121"/>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21"/>
      <c r="H188" s="7"/>
      <c r="I188" s="7"/>
    </row>
    <row r="189" spans="1:9">
      <c r="A189" s="14">
        <f>Start.listina!AH57</f>
        <v>48</v>
      </c>
      <c r="B189" s="14">
        <f ca="1">Start.listina!I57</f>
        <v>19067</v>
      </c>
      <c r="C189" s="227" t="str">
        <f ca="1">Start.listina!J57</f>
        <v>Petrželka</v>
      </c>
      <c r="D189" s="14" t="str">
        <f ca="1">Start.listina!K57</f>
        <v>Josef</v>
      </c>
      <c r="E189" s="14" t="str">
        <f ca="1">Start.listina!L57</f>
        <v>1. Starobrněnský PK</v>
      </c>
      <c r="F189" s="14"/>
      <c r="G189" s="121">
        <f ca="1">IF(N(A189)&gt;0,VLOOKUP(A189,Body!$A$4:$F$259,5,0),"")</f>
        <v>19.037218750000001</v>
      </c>
      <c r="H189" s="7">
        <f ca="1">IF(N(A189)&gt;0,VLOOKUP(A189,Body!$A$4:$F$259,6,0),"")</f>
        <v>0</v>
      </c>
      <c r="I189" s="7">
        <f ca="1">IF(N(A189)&gt;0,VLOOKUP(A189,Body!$A$4:$F$259,2,0),"")</f>
        <v>0.5</v>
      </c>
    </row>
    <row r="190" spans="1:9">
      <c r="A190" s="14"/>
      <c r="B190" s="14">
        <f ca="1">Start.listina!O57</f>
        <v>20565</v>
      </c>
      <c r="C190" s="14" t="str">
        <f ca="1">Start.listina!P57</f>
        <v>Manka</v>
      </c>
      <c r="D190" s="14" t="str">
        <f ca="1">Start.listina!Q57</f>
        <v>Heinz</v>
      </c>
      <c r="E190" s="14" t="str">
        <f ca="1">Start.listina!R57</f>
        <v>1. Starobrněnský PK</v>
      </c>
      <c r="F190" s="14"/>
      <c r="G190" s="121"/>
      <c r="H190" s="7"/>
      <c r="I190" s="7"/>
    </row>
    <row r="191" spans="1:9">
      <c r="A191" s="14"/>
      <c r="B191" s="14">
        <f ca="1">Start.listina!U57</f>
        <v>19021</v>
      </c>
      <c r="C191" s="14" t="str">
        <f ca="1">Start.listina!V57</f>
        <v>Chodúr</v>
      </c>
      <c r="D191" s="14" t="str">
        <f ca="1">Start.listina!W57</f>
        <v>Peter</v>
      </c>
      <c r="E191" s="14" t="str">
        <f ca="1">Start.listina!X57</f>
        <v>HRODE KRUMSÍN</v>
      </c>
      <c r="F191" s="14"/>
      <c r="G191" s="121"/>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21"/>
      <c r="H192" s="7"/>
      <c r="I192" s="7"/>
    </row>
    <row r="193" spans="1:9">
      <c r="A193" s="14">
        <f>Start.listina!AH58</f>
        <v>48</v>
      </c>
      <c r="B193" s="14">
        <f ca="1">Start.listina!I58</f>
        <v>16075</v>
      </c>
      <c r="C193" s="227" t="str">
        <f ca="1">Start.listina!J58</f>
        <v>Hladík</v>
      </c>
      <c r="D193" s="14" t="str">
        <f ca="1">Start.listina!K58</f>
        <v>Jaroslav</v>
      </c>
      <c r="E193" s="14" t="str">
        <f ca="1">Start.listina!L58</f>
        <v>SK Pétanque Řepy</v>
      </c>
      <c r="F193" s="14"/>
      <c r="G193" s="121">
        <f ca="1">IF(N(A193)&gt;0,VLOOKUP(A193,Body!$A$4:$F$259,5,0),"")</f>
        <v>19.037218750000001</v>
      </c>
      <c r="H193" s="7">
        <f ca="1">IF(N(A193)&gt;0,VLOOKUP(A193,Body!$A$4:$F$259,6,0),"")</f>
        <v>0</v>
      </c>
      <c r="I193" s="7">
        <f ca="1">IF(N(A193)&gt;0,VLOOKUP(A193,Body!$A$4:$F$259,2,0),"")</f>
        <v>0.5</v>
      </c>
    </row>
    <row r="194" spans="1:9">
      <c r="A194" s="14"/>
      <c r="B194" s="14">
        <f ca="1">Start.listina!O58</f>
        <v>23222</v>
      </c>
      <c r="C194" s="14" t="str">
        <f ca="1">Start.listina!P58</f>
        <v>Slunečko</v>
      </c>
      <c r="D194" s="14" t="str">
        <f ca="1">Start.listina!Q58</f>
        <v>František</v>
      </c>
      <c r="E194" s="14" t="str">
        <f ca="1">Start.listina!R58</f>
        <v>SK Pétanque Řepy</v>
      </c>
      <c r="F194" s="14"/>
      <c r="G194" s="121"/>
      <c r="H194" s="7"/>
      <c r="I194" s="7"/>
    </row>
    <row r="195" spans="1:9">
      <c r="A195" s="14"/>
      <c r="B195" s="14">
        <f ca="1">Start.listina!U58</f>
        <v>16082</v>
      </c>
      <c r="C195" s="14" t="str">
        <f ca="1">Start.listina!V58</f>
        <v>Pastorek</v>
      </c>
      <c r="D195" s="14" t="str">
        <f ca="1">Start.listina!W58</f>
        <v>Jaroslav</v>
      </c>
      <c r="E195" s="14" t="str">
        <f ca="1">Start.listina!X58</f>
        <v>SK Pétanque Řepy</v>
      </c>
      <c r="F195" s="14"/>
      <c r="G195" s="121"/>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21"/>
      <c r="H196" s="7"/>
      <c r="I196" s="7"/>
    </row>
    <row r="197" spans="1:9">
      <c r="A197" s="14">
        <f ca="1">Start.listina!AH59</f>
        <v>59</v>
      </c>
      <c r="B197" s="14">
        <f ca="1">Start.listina!I59</f>
        <v>14021</v>
      </c>
      <c r="C197" s="227" t="str">
        <f ca="1">Start.listina!J59</f>
        <v>Grepl</v>
      </c>
      <c r="D197" s="14" t="str">
        <f ca="1">Start.listina!K59</f>
        <v>Zbyněk</v>
      </c>
      <c r="E197" s="14" t="str">
        <f ca="1">Start.listina!L59</f>
        <v>PK Polouvsí</v>
      </c>
      <c r="F197" s="14"/>
      <c r="G197" s="121">
        <f ca="1">IF(N(A197)&gt;0,VLOOKUP(A197,Body!$A$4:$F$259,5,0),"")</f>
        <v>1</v>
      </c>
      <c r="H197" s="7">
        <f ca="1">IF(N(A197)&gt;0,VLOOKUP(A197,Body!$A$4:$F$259,6,0),"")</f>
        <v>0</v>
      </c>
      <c r="I197" s="7">
        <f ca="1">IF(N(A197)&gt;0,VLOOKUP(A197,Body!$A$4:$F$259,2,0),"")</f>
        <v>0</v>
      </c>
    </row>
    <row r="198" spans="1:9">
      <c r="A198" s="14"/>
      <c r="B198" s="14">
        <f ca="1">Start.listina!O59</f>
        <v>21036</v>
      </c>
      <c r="C198" s="14" t="str">
        <f ca="1">Start.listina!P59</f>
        <v>Vrzal</v>
      </c>
      <c r="D198" s="14" t="str">
        <f ca="1">Start.listina!Q59</f>
        <v>Martin</v>
      </c>
      <c r="E198" s="14" t="str">
        <f ca="1">Start.listina!R59</f>
        <v>PK Polouvsí</v>
      </c>
      <c r="F198" s="14"/>
      <c r="G198" s="121"/>
      <c r="H198" s="7"/>
      <c r="I198" s="7"/>
    </row>
    <row r="199" spans="1:9">
      <c r="A199" s="14"/>
      <c r="B199" s="14">
        <f ca="1">Start.listina!U59</f>
        <v>21007</v>
      </c>
      <c r="C199" s="14" t="str">
        <f ca="1">Start.listina!V59</f>
        <v>Seredová</v>
      </c>
      <c r="D199" s="14" t="str">
        <f ca="1">Start.listina!W59</f>
        <v>Lucie</v>
      </c>
      <c r="E199" s="14" t="str">
        <f ca="1">Start.listina!X59</f>
        <v>FENYX Adamov</v>
      </c>
      <c r="F199" s="14"/>
      <c r="G199" s="121"/>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21"/>
      <c r="H200" s="7"/>
      <c r="I200" s="7"/>
    </row>
    <row r="201" spans="1:9">
      <c r="A201" s="14">
        <f ca="1">Start.listina!AH60</f>
        <v>59</v>
      </c>
      <c r="B201" s="14">
        <f ca="1">Start.listina!I60</f>
        <v>18064</v>
      </c>
      <c r="C201" s="227" t="str">
        <f ca="1">Start.listina!J60</f>
        <v>Rusek</v>
      </c>
      <c r="D201" s="14" t="str">
        <f ca="1">Start.listina!K60</f>
        <v>Luboš</v>
      </c>
      <c r="E201" s="14" t="str">
        <f ca="1">Start.listina!L60</f>
        <v>PK Polouvsí</v>
      </c>
      <c r="F201" s="14"/>
      <c r="G201" s="121">
        <f ca="1">IF(N(A201)&gt;0,VLOOKUP(A201,Body!$A$4:$F$259,5,0),"")</f>
        <v>1</v>
      </c>
      <c r="H201" s="7">
        <f ca="1">IF(N(A201)&gt;0,VLOOKUP(A201,Body!$A$4:$F$259,6,0),"")</f>
        <v>0</v>
      </c>
      <c r="I201" s="7">
        <f ca="1">IF(N(A201)&gt;0,VLOOKUP(A201,Body!$A$4:$F$259,2,0),"")</f>
        <v>0</v>
      </c>
    </row>
    <row r="202" spans="1:9">
      <c r="A202" s="14"/>
      <c r="B202" s="14">
        <f ca="1">Start.listina!O60</f>
        <v>13055</v>
      </c>
      <c r="C202" s="14" t="str">
        <f ca="1">Start.listina!P60</f>
        <v>Brevčinský</v>
      </c>
      <c r="D202" s="14" t="str">
        <f ca="1">Start.listina!Q60</f>
        <v>Tomáš</v>
      </c>
      <c r="E202" s="14" t="str">
        <f ca="1">Start.listina!R60</f>
        <v>TOP - ORLOVÁ</v>
      </c>
      <c r="F202" s="14"/>
      <c r="G202" s="121"/>
      <c r="H202" s="7"/>
      <c r="I202" s="7"/>
    </row>
    <row r="203" spans="1:9">
      <c r="A203" s="14"/>
      <c r="B203" s="14">
        <f ca="1">Start.listina!U60</f>
        <v>17093</v>
      </c>
      <c r="C203" s="14" t="str">
        <f ca="1">Start.listina!V60</f>
        <v>Žiak</v>
      </c>
      <c r="D203" s="14" t="str">
        <f ca="1">Start.listina!W60</f>
        <v>Radomír</v>
      </c>
      <c r="E203" s="14" t="str">
        <f ca="1">Start.listina!X60</f>
        <v>PAK Albrechtice</v>
      </c>
      <c r="F203" s="14"/>
      <c r="G203" s="121"/>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21"/>
      <c r="H204" s="7"/>
      <c r="I204" s="7"/>
    </row>
    <row r="205" spans="1:9">
      <c r="A205" s="14">
        <f ca="1">Start.listina!AH61</f>
        <v>15</v>
      </c>
      <c r="B205" s="14">
        <f ca="1">Start.listina!I61</f>
        <v>24218</v>
      </c>
      <c r="C205" s="227" t="str">
        <f ca="1">Start.listina!J61</f>
        <v>Fuksa</v>
      </c>
      <c r="D205" s="14" t="str">
        <f ca="1">Start.listina!K61</f>
        <v>Petr</v>
      </c>
      <c r="E205" s="14" t="str">
        <f ca="1">Start.listina!L61</f>
        <v>UBU Únětice</v>
      </c>
      <c r="F205" s="14"/>
      <c r="G205" s="121">
        <f ca="1">IF(N(A205)&gt;0,VLOOKUP(A205,Body!$A$4:$F$259,5,0),"")</f>
        <v>80.908179687500009</v>
      </c>
      <c r="H205" s="7">
        <f ca="1">IF(N(A205)&gt;0,VLOOKUP(A205,Body!$A$4:$F$259,6,0),"")</f>
        <v>0</v>
      </c>
      <c r="I205" s="7">
        <f ca="1">IF(N(A205)&gt;0,VLOOKUP(A205,Body!$A$4:$F$259,2,0),"")</f>
        <v>2.125</v>
      </c>
    </row>
    <row r="206" spans="1:9">
      <c r="A206" s="14"/>
      <c r="B206" s="14">
        <f ca="1">Start.listina!O61</f>
        <v>96108</v>
      </c>
      <c r="C206" s="14" t="str">
        <f ca="1">Start.listina!P61</f>
        <v>Hanč</v>
      </c>
      <c r="D206" s="14" t="str">
        <f ca="1">Start.listina!Q61</f>
        <v>Jaroslav</v>
      </c>
      <c r="E206" s="14" t="str">
        <f ca="1">Start.listina!R61</f>
        <v>1. KPK Vrchlabí</v>
      </c>
      <c r="F206" s="14"/>
      <c r="G206" s="121"/>
      <c r="H206" s="7"/>
      <c r="I206" s="7"/>
    </row>
    <row r="207" spans="1:9">
      <c r="A207" s="14"/>
      <c r="B207" s="14">
        <f ca="1">Start.listina!U61</f>
        <v>16060</v>
      </c>
      <c r="C207" s="14" t="str">
        <f ca="1">Start.listina!V61</f>
        <v>Kremlík</v>
      </c>
      <c r="D207" s="14" t="str">
        <f ca="1">Start.listina!W61</f>
        <v>Miroslav</v>
      </c>
      <c r="E207" s="14" t="str">
        <f ca="1">Start.listina!X61</f>
        <v>Spolek Park Grébovka</v>
      </c>
      <c r="F207" s="14"/>
      <c r="G207" s="121"/>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21"/>
      <c r="H208" s="7"/>
      <c r="I208" s="7"/>
    </row>
    <row r="209" spans="1:9">
      <c r="A209" s="14">
        <f ca="1">Start.listina!AH62</f>
        <v>59</v>
      </c>
      <c r="B209" s="14">
        <f ca="1">Start.listina!I62</f>
        <v>21004</v>
      </c>
      <c r="C209" s="227" t="str">
        <f ca="1">Start.listina!J62</f>
        <v>Grepl</v>
      </c>
      <c r="D209" s="14" t="str">
        <f ca="1">Start.listina!K62</f>
        <v>Kamila</v>
      </c>
      <c r="E209" s="14" t="str">
        <f ca="1">Start.listina!L62</f>
        <v>Carreau Brno</v>
      </c>
      <c r="F209" s="14"/>
      <c r="G209" s="121">
        <f ca="1">IF(N(A209)&gt;0,VLOOKUP(A209,Body!$A$4:$F$259,5,0),"")</f>
        <v>1</v>
      </c>
      <c r="H209" s="7">
        <f ca="1">IF(N(A209)&gt;0,VLOOKUP(A209,Body!$A$4:$F$259,6,0),"")</f>
        <v>0</v>
      </c>
      <c r="I209" s="7">
        <f ca="1">IF(N(A209)&gt;0,VLOOKUP(A209,Body!$A$4:$F$259,2,0),"")</f>
        <v>0</v>
      </c>
    </row>
    <row r="210" spans="1:9">
      <c r="A210" s="14"/>
      <c r="B210" s="14">
        <f ca="1">Start.listina!O62</f>
        <v>20702</v>
      </c>
      <c r="C210" s="14" t="str">
        <f ca="1">Start.listina!P62</f>
        <v>Michálková</v>
      </c>
      <c r="D210" s="14" t="str">
        <f ca="1">Start.listina!Q62</f>
        <v>Soňa</v>
      </c>
      <c r="E210" s="14" t="str">
        <f ca="1">Start.listina!R62</f>
        <v>Carreau Brno</v>
      </c>
      <c r="F210" s="14"/>
      <c r="G210" s="121"/>
      <c r="H210" s="7"/>
      <c r="I210" s="7"/>
    </row>
    <row r="211" spans="1:9">
      <c r="A211" s="14"/>
      <c r="B211" s="14">
        <f ca="1">Start.listina!U62</f>
        <v>20503</v>
      </c>
      <c r="C211" s="14" t="str">
        <f ca="1">Start.listina!V62</f>
        <v>Pokorná</v>
      </c>
      <c r="D211" s="14" t="str">
        <f ca="1">Start.listina!W62</f>
        <v>Lucie</v>
      </c>
      <c r="E211" s="14" t="str">
        <f ca="1">Start.listina!X62</f>
        <v>Carreau Brno</v>
      </c>
      <c r="F211" s="14"/>
      <c r="G211" s="121"/>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21"/>
      <c r="H212" s="7"/>
      <c r="I212" s="7"/>
    </row>
    <row r="213" spans="1:9">
      <c r="A213" s="14">
        <f>Start.listina!AH63</f>
        <v>48</v>
      </c>
      <c r="B213" s="14">
        <f ca="1">Start.listina!I63</f>
        <v>23243</v>
      </c>
      <c r="C213" s="227" t="str">
        <f ca="1">Start.listina!J63</f>
        <v>Sudoměřický</v>
      </c>
      <c r="D213" s="14" t="str">
        <f ca="1">Start.listina!K63</f>
        <v>Tomáš</v>
      </c>
      <c r="E213" s="14" t="str">
        <f ca="1">Start.listina!L63</f>
        <v>PC Sokol Velim</v>
      </c>
      <c r="F213" s="14"/>
      <c r="G213" s="121">
        <f ca="1">IF(N(A213)&gt;0,VLOOKUP(A213,Body!$A$4:$F$259,5,0),"")</f>
        <v>19.037218750000001</v>
      </c>
      <c r="H213" s="7">
        <f ca="1">IF(N(A213)&gt;0,VLOOKUP(A213,Body!$A$4:$F$259,6,0),"")</f>
        <v>0</v>
      </c>
      <c r="I213" s="7">
        <f ca="1">IF(N(A213)&gt;0,VLOOKUP(A213,Body!$A$4:$F$259,2,0),"")</f>
        <v>0.5</v>
      </c>
    </row>
    <row r="214" spans="1:9">
      <c r="A214" s="14"/>
      <c r="B214" s="14">
        <f ca="1">Start.listina!O63</f>
        <v>14098</v>
      </c>
      <c r="C214" s="14" t="str">
        <f ca="1">Start.listina!P63</f>
        <v>Skala</v>
      </c>
      <c r="D214" s="14" t="str">
        <f ca="1">Start.listina!Q63</f>
        <v>Petr</v>
      </c>
      <c r="E214" s="14" t="str">
        <f ca="1">Start.listina!R63</f>
        <v>PC Sokol Velim</v>
      </c>
      <c r="F214" s="14"/>
      <c r="G214" s="121"/>
      <c r="H214" s="7"/>
      <c r="I214" s="7"/>
    </row>
    <row r="215" spans="1:9">
      <c r="A215" s="14"/>
      <c r="B215" s="14">
        <f ca="1">Start.listina!U63</f>
        <v>29009</v>
      </c>
      <c r="C215" s="14" t="str">
        <f ca="1">Start.listina!V63</f>
        <v>Proroková</v>
      </c>
      <c r="D215" s="14" t="str">
        <f ca="1">Start.listina!W63</f>
        <v>Dana</v>
      </c>
      <c r="E215" s="14" t="str">
        <f ca="1">Start.listina!X63</f>
        <v>PC Sokol Velim</v>
      </c>
      <c r="F215" s="14"/>
      <c r="G215" s="121"/>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21"/>
      <c r="H216" s="7"/>
      <c r="I216" s="7"/>
    </row>
    <row r="217" spans="1:9">
      <c r="A217" s="14">
        <f>Start.listina!AH64</f>
        <v>48</v>
      </c>
      <c r="B217" s="14">
        <f ca="1">Start.listina!I64</f>
        <v>20542</v>
      </c>
      <c r="C217" s="227" t="str">
        <f ca="1">Start.listina!J64</f>
        <v>Holenda</v>
      </c>
      <c r="D217" s="14" t="str">
        <f ca="1">Start.listina!K64</f>
        <v>Milan</v>
      </c>
      <c r="E217" s="14" t="str">
        <f ca="1">Start.listina!L64</f>
        <v>PO Chotěboř</v>
      </c>
      <c r="F217" s="14"/>
      <c r="G217" s="121">
        <f ca="1">IF(N(A217)&gt;0,VLOOKUP(A217,Body!$A$4:$F$259,5,0),"")</f>
        <v>19.037218750000001</v>
      </c>
      <c r="H217" s="7">
        <f ca="1">IF(N(A217)&gt;0,VLOOKUP(A217,Body!$A$4:$F$259,6,0),"")</f>
        <v>0</v>
      </c>
      <c r="I217" s="7">
        <f ca="1">IF(N(A217)&gt;0,VLOOKUP(A217,Body!$A$4:$F$259,2,0),"")</f>
        <v>0.5</v>
      </c>
    </row>
    <row r="218" spans="1:9">
      <c r="A218" s="14"/>
      <c r="B218" s="14">
        <f ca="1">Start.listina!O64</f>
        <v>22168</v>
      </c>
      <c r="C218" s="14" t="str">
        <f ca="1">Start.listina!P64</f>
        <v>Jindrová</v>
      </c>
      <c r="D218" s="14" t="str">
        <f ca="1">Start.listina!Q64</f>
        <v>Alena</v>
      </c>
      <c r="E218" s="14" t="str">
        <f ca="1">Start.listina!R64</f>
        <v>PO Chotěboř</v>
      </c>
      <c r="F218" s="14"/>
      <c r="G218" s="121"/>
      <c r="H218" s="7"/>
      <c r="I218" s="7"/>
    </row>
    <row r="219" spans="1:9">
      <c r="A219" s="14"/>
      <c r="B219" s="14">
        <f ca="1">Start.listina!U64</f>
        <v>24536</v>
      </c>
      <c r="C219" s="14" t="str">
        <f ca="1">Start.listina!V64</f>
        <v>Zmrhal</v>
      </c>
      <c r="D219" s="14" t="str">
        <f ca="1">Start.listina!W64</f>
        <v>Milan</v>
      </c>
      <c r="E219" s="14" t="str">
        <f ca="1">Start.listina!X64</f>
        <v>PO Chotěboř</v>
      </c>
      <c r="F219" s="14"/>
      <c r="G219" s="121"/>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21"/>
      <c r="H220" s="7"/>
      <c r="I220" s="7"/>
    </row>
    <row r="221" spans="1:9">
      <c r="A221" s="14">
        <f ca="1">Start.listina!AH65</f>
        <v>59</v>
      </c>
      <c r="B221" s="14">
        <f ca="1">Start.listina!I65</f>
        <v>18141</v>
      </c>
      <c r="C221" s="227" t="str">
        <f ca="1">Start.listina!J65</f>
        <v>Horák</v>
      </c>
      <c r="D221" s="14" t="str">
        <f ca="1">Start.listina!K65</f>
        <v>Libor</v>
      </c>
      <c r="E221" s="14" t="str">
        <f ca="1">Start.listina!L65</f>
        <v>BePeC 2016</v>
      </c>
      <c r="F221" s="14"/>
      <c r="G221" s="121">
        <f ca="1">IF(N(A221)&gt;0,VLOOKUP(A221,Body!$A$4:$F$259,5,0),"")</f>
        <v>1</v>
      </c>
      <c r="H221" s="7">
        <f ca="1">IF(N(A221)&gt;0,VLOOKUP(A221,Body!$A$4:$F$259,6,0),"")</f>
        <v>0</v>
      </c>
      <c r="I221" s="7">
        <f ca="1">IF(N(A221)&gt;0,VLOOKUP(A221,Body!$A$4:$F$259,2,0),"")</f>
        <v>0</v>
      </c>
    </row>
    <row r="222" spans="1:9">
      <c r="A222" s="14"/>
      <c r="B222" s="14">
        <f ca="1">Start.listina!O65</f>
        <v>98304</v>
      </c>
      <c r="C222" s="14" t="str">
        <f ca="1">Start.listina!P65</f>
        <v>Urbanová</v>
      </c>
      <c r="D222" s="14" t="str">
        <f ca="1">Start.listina!Q65</f>
        <v>Bronislava</v>
      </c>
      <c r="E222" s="14" t="str">
        <f ca="1">Start.listina!R65</f>
        <v>1. Starobrněnský PK</v>
      </c>
      <c r="F222" s="14"/>
      <c r="G222" s="121"/>
      <c r="H222" s="7"/>
      <c r="I222" s="7"/>
    </row>
    <row r="223" spans="1:9">
      <c r="A223" s="14"/>
      <c r="B223" s="14">
        <f ca="1">Start.listina!U65</f>
        <v>21063</v>
      </c>
      <c r="C223" s="14" t="str">
        <f ca="1">Start.listina!V65</f>
        <v>Lukášová</v>
      </c>
      <c r="D223" s="14" t="str">
        <f ca="1">Start.listina!W65</f>
        <v>Jarmila</v>
      </c>
      <c r="E223" s="14" t="str">
        <f ca="1">Start.listina!X65</f>
        <v>BePeC 2016</v>
      </c>
      <c r="F223" s="14"/>
      <c r="G223" s="121"/>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21"/>
      <c r="H224" s="7"/>
      <c r="I224" s="7"/>
    </row>
    <row r="225" spans="1:9">
      <c r="A225" s="14">
        <f ca="1">Start.listina!AH66</f>
        <v>59</v>
      </c>
      <c r="B225" s="14">
        <f ca="1">Start.listina!I66</f>
        <v>20600</v>
      </c>
      <c r="C225" s="227" t="str">
        <f ca="1">Start.listina!J66</f>
        <v>Dyba</v>
      </c>
      <c r="D225" s="14" t="str">
        <f ca="1">Start.listina!K66</f>
        <v>Daniel</v>
      </c>
      <c r="E225" s="14" t="str">
        <f ca="1">Start.listina!L66</f>
        <v>PSK Jihlava</v>
      </c>
      <c r="F225" s="14"/>
      <c r="G225" s="121">
        <f ca="1">IF(N(A225)&gt;0,VLOOKUP(A225,Body!$A$4:$F$259,5,0),"")</f>
        <v>1</v>
      </c>
      <c r="H225" s="7">
        <f ca="1">IF(N(A225)&gt;0,VLOOKUP(A225,Body!$A$4:$F$259,6,0),"")</f>
        <v>0</v>
      </c>
      <c r="I225" s="7">
        <f ca="1">IF(N(A225)&gt;0,VLOOKUP(A225,Body!$A$4:$F$259,2,0),"")</f>
        <v>0</v>
      </c>
    </row>
    <row r="226" spans="1:9">
      <c r="A226" s="14"/>
      <c r="B226" s="14">
        <f ca="1">Start.listina!O66</f>
        <v>22127</v>
      </c>
      <c r="C226" s="14" t="str">
        <f ca="1">Start.listina!P66</f>
        <v>Dyba</v>
      </c>
      <c r="D226" s="14" t="str">
        <f ca="1">Start.listina!Q66</f>
        <v>Dalibor</v>
      </c>
      <c r="E226" s="14" t="str">
        <f ca="1">Start.listina!R66</f>
        <v>PSK Jihlava</v>
      </c>
      <c r="F226" s="14"/>
      <c r="G226" s="121"/>
      <c r="H226" s="7"/>
      <c r="I226" s="7"/>
    </row>
    <row r="227" spans="1:9">
      <c r="A227" s="14"/>
      <c r="B227" s="14">
        <f ca="1">Start.listina!U66</f>
        <v>20583</v>
      </c>
      <c r="C227" s="14" t="str">
        <f ca="1">Start.listina!V66</f>
        <v>Flek</v>
      </c>
      <c r="D227" s="14" t="str">
        <f ca="1">Start.listina!W66</f>
        <v>Petr</v>
      </c>
      <c r="E227" s="14" t="str">
        <f ca="1">Start.listina!X66</f>
        <v>PSK Jihlava</v>
      </c>
      <c r="F227" s="14"/>
      <c r="G227" s="121"/>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21"/>
      <c r="H228" s="7"/>
      <c r="I228" s="7"/>
    </row>
    <row r="229" spans="1:9">
      <c r="A229" s="14">
        <f ca="1">Start.listina!AH67</f>
        <v>59</v>
      </c>
      <c r="B229" s="14">
        <f ca="1">Start.listina!I67</f>
        <v>24534</v>
      </c>
      <c r="C229" s="227" t="str">
        <f ca="1">Start.listina!J67</f>
        <v>Krupicová</v>
      </c>
      <c r="D229" s="14" t="str">
        <f ca="1">Start.listina!K67</f>
        <v>Natálie</v>
      </c>
      <c r="E229" s="14" t="str">
        <f ca="1">Start.listina!L67</f>
        <v>PSK Jihlava</v>
      </c>
      <c r="F229" s="14"/>
      <c r="G229" s="121">
        <f ca="1">IF(N(A229)&gt;0,VLOOKUP(A229,Body!$A$4:$F$259,5,0),"")</f>
        <v>1</v>
      </c>
      <c r="H229" s="7">
        <f ca="1">IF(N(A229)&gt;0,VLOOKUP(A229,Body!$A$4:$F$259,6,0),"")</f>
        <v>0</v>
      </c>
      <c r="I229" s="7">
        <f ca="1">IF(N(A229)&gt;0,VLOOKUP(A229,Body!$A$4:$F$259,2,0),"")</f>
        <v>0</v>
      </c>
    </row>
    <row r="230" spans="1:9">
      <c r="A230" s="14"/>
      <c r="B230" s="14">
        <f ca="1">Start.listina!O67</f>
        <v>23258</v>
      </c>
      <c r="C230" s="14" t="str">
        <f ca="1">Start.listina!P67</f>
        <v>Brabenec</v>
      </c>
      <c r="D230" s="14" t="str">
        <f ca="1">Start.listina!Q67</f>
        <v>Patrik</v>
      </c>
      <c r="E230" s="14" t="str">
        <f ca="1">Start.listina!R67</f>
        <v>PSK Jihlava</v>
      </c>
      <c r="F230" s="14"/>
      <c r="G230" s="121"/>
      <c r="H230" s="7"/>
      <c r="I230" s="7"/>
    </row>
    <row r="231" spans="1:9">
      <c r="A231" s="14"/>
      <c r="B231" s="14">
        <f ca="1">Start.listina!U67</f>
        <v>24547</v>
      </c>
      <c r="C231" s="14" t="str">
        <f ca="1">Start.listina!V67</f>
        <v>Pokorný</v>
      </c>
      <c r="D231" s="14" t="str">
        <f ca="1">Start.listina!W67</f>
        <v>Karel</v>
      </c>
      <c r="E231" s="14" t="str">
        <f ca="1">Start.listina!X67</f>
        <v>PSK Jihlava</v>
      </c>
      <c r="F231" s="14"/>
      <c r="G231" s="121"/>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21"/>
      <c r="H232" s="7"/>
      <c r="I232" s="7"/>
    </row>
    <row r="233" spans="1:9">
      <c r="A233" s="14">
        <f ca="1">Start.listina!AH68</f>
        <v>59</v>
      </c>
      <c r="B233" s="14">
        <f ca="1">Start.listina!I68</f>
        <v>22124</v>
      </c>
      <c r="C233" s="227" t="str">
        <f ca="1">Start.listina!J68</f>
        <v>Žáková</v>
      </c>
      <c r="D233" s="14" t="str">
        <f ca="1">Start.listina!K68</f>
        <v>Naděžda</v>
      </c>
      <c r="E233" s="14" t="str">
        <f ca="1">Start.listina!L68</f>
        <v>PSK Jihlava</v>
      </c>
      <c r="F233" s="14"/>
      <c r="G233" s="121">
        <f ca="1">IF(N(A233)&gt;0,VLOOKUP(A233,Body!$A$4:$F$259,5,0),"")</f>
        <v>1</v>
      </c>
      <c r="H233" s="7">
        <f ca="1">IF(N(A233)&gt;0,VLOOKUP(A233,Body!$A$4:$F$259,6,0),"")</f>
        <v>0</v>
      </c>
      <c r="I233" s="7">
        <f ca="1">IF(N(A233)&gt;0,VLOOKUP(A233,Body!$A$4:$F$259,2,0),"")</f>
        <v>0</v>
      </c>
    </row>
    <row r="234" spans="1:9">
      <c r="A234" s="14"/>
      <c r="B234" s="14">
        <f ca="1">Start.listina!O68</f>
        <v>24517</v>
      </c>
      <c r="C234" s="14" t="str">
        <f ca="1">Start.listina!P68</f>
        <v>Fišerová</v>
      </c>
      <c r="D234" s="14" t="str">
        <f ca="1">Start.listina!Q68</f>
        <v>Dana</v>
      </c>
      <c r="E234" s="14" t="str">
        <f ca="1">Start.listina!R68</f>
        <v>PSK Jihlava</v>
      </c>
      <c r="F234" s="14"/>
      <c r="G234" s="121"/>
      <c r="H234" s="7"/>
      <c r="I234" s="7"/>
    </row>
    <row r="235" spans="1:9">
      <c r="A235" s="14"/>
      <c r="B235" s="14">
        <f ca="1">Start.listina!U68</f>
        <v>20592</v>
      </c>
      <c r="C235" s="14" t="str">
        <f ca="1">Start.listina!V68</f>
        <v>Pavlíková</v>
      </c>
      <c r="D235" s="14" t="str">
        <f ca="1">Start.listina!W68</f>
        <v>Marie</v>
      </c>
      <c r="E235" s="14" t="str">
        <f ca="1">Start.listina!X68</f>
        <v>PSK Jihlava</v>
      </c>
      <c r="F235" s="14"/>
      <c r="G235" s="121"/>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21"/>
      <c r="H236" s="7"/>
      <c r="I236" s="7"/>
    </row>
    <row r="237" spans="1:9">
      <c r="A237" s="14">
        <f>Start.listina!AH69</f>
        <v>48</v>
      </c>
      <c r="B237" s="14">
        <f ca="1">Start.listina!I69</f>
        <v>22128</v>
      </c>
      <c r="C237" s="227" t="str">
        <f ca="1">Start.listina!J69</f>
        <v>Půža</v>
      </c>
      <c r="D237" s="14" t="str">
        <f ca="1">Start.listina!K69</f>
        <v>Jan</v>
      </c>
      <c r="E237" s="14" t="str">
        <f ca="1">Start.listina!L69</f>
        <v>PSK Jihlava</v>
      </c>
      <c r="F237" s="14"/>
      <c r="G237" s="121">
        <f ca="1">IF(N(A237)&gt;0,VLOOKUP(A237,Body!$A$4:$F$259,5,0),"")</f>
        <v>19.037218750000001</v>
      </c>
      <c r="H237" s="7">
        <f ca="1">IF(N(A237)&gt;0,VLOOKUP(A237,Body!$A$4:$F$259,6,0),"")</f>
        <v>0</v>
      </c>
      <c r="I237" s="7">
        <f ca="1">IF(N(A237)&gt;0,VLOOKUP(A237,Body!$A$4:$F$259,2,0),"")</f>
        <v>0.5</v>
      </c>
    </row>
    <row r="238" spans="1:9">
      <c r="A238" s="14"/>
      <c r="B238" s="14">
        <f ca="1">Start.listina!O69</f>
        <v>22129</v>
      </c>
      <c r="C238" s="14" t="str">
        <f ca="1">Start.listina!P69</f>
        <v>Marešová</v>
      </c>
      <c r="D238" s="14" t="str">
        <f ca="1">Start.listina!Q69</f>
        <v>Marie</v>
      </c>
      <c r="E238" s="14" t="str">
        <f ca="1">Start.listina!R69</f>
        <v>PSK Jihlava</v>
      </c>
      <c r="F238" s="14"/>
      <c r="G238" s="121"/>
      <c r="H238" s="7"/>
      <c r="I238" s="7"/>
    </row>
    <row r="239" spans="1:9">
      <c r="A239" s="14"/>
      <c r="B239" s="14">
        <f ca="1">Start.listina!U69</f>
        <v>20601</v>
      </c>
      <c r="C239" s="14" t="str">
        <f ca="1">Start.listina!V69</f>
        <v>Litvin</v>
      </c>
      <c r="D239" s="14" t="str">
        <f ca="1">Start.listina!W69</f>
        <v>Vasil</v>
      </c>
      <c r="E239" s="14" t="str">
        <f ca="1">Start.listina!X69</f>
        <v>PSK Jihlava</v>
      </c>
      <c r="F239" s="14"/>
      <c r="G239" s="121"/>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21"/>
      <c r="H240" s="7"/>
      <c r="I240" s="7"/>
    </row>
    <row r="241" spans="1:9">
      <c r="A241" s="14">
        <f ca="1">Start.listina!AH70</f>
        <v>0</v>
      </c>
      <c r="B241" s="14" t="str">
        <f ca="1">Start.listina!I70</f>
        <v/>
      </c>
      <c r="C241" s="227" t="str">
        <f ca="1">Start.listina!J70</f>
        <v xml:space="preserve"> </v>
      </c>
      <c r="D241" s="14" t="str">
        <f ca="1">Start.listina!K70</f>
        <v xml:space="preserve"> </v>
      </c>
      <c r="E241" s="14" t="str">
        <f ca="1">Start.listina!L70</f>
        <v xml:space="preserve"> </v>
      </c>
      <c r="F241" s="14"/>
      <c r="G241" s="121" t="str">
        <f ca="1">IF(N(A241)&gt;0,VLOOKUP(A241,Body!$A$4:$F$259,5,0),"")</f>
        <v/>
      </c>
      <c r="H241" s="7" t="str">
        <f ca="1">IF(N(A241)&gt;0,VLOOKUP(A241,Body!$A$4:$F$259,6,0),"")</f>
        <v/>
      </c>
      <c r="I241" s="7" t="str">
        <f ca="1">IF(N(A241)&gt;0,VLOOKUP(A241,Body!$A$4:$F$259,2,0),"")</f>
        <v/>
      </c>
    </row>
    <row r="242" spans="1:9">
      <c r="A242" s="14"/>
      <c r="B242" s="14" t="str">
        <f ca="1">Start.listina!O70</f>
        <v/>
      </c>
      <c r="C242" s="14" t="str">
        <f ca="1">Start.listina!P70</f>
        <v xml:space="preserve"> </v>
      </c>
      <c r="D242" s="14" t="str">
        <f ca="1">Start.listina!Q70</f>
        <v xml:space="preserve"> </v>
      </c>
      <c r="E242" s="14" t="str">
        <f ca="1">Start.listina!R70</f>
        <v xml:space="preserve"> </v>
      </c>
      <c r="F242" s="14"/>
      <c r="G242" s="121"/>
      <c r="H242" s="7"/>
      <c r="I242" s="7"/>
    </row>
    <row r="243" spans="1:9">
      <c r="A243" s="14"/>
      <c r="B243" s="14" t="str">
        <f ca="1">Start.listina!U70</f>
        <v/>
      </c>
      <c r="C243" s="14" t="str">
        <f ca="1">Start.listina!V70</f>
        <v xml:space="preserve"> </v>
      </c>
      <c r="D243" s="14" t="str">
        <f ca="1">Start.listina!W70</f>
        <v xml:space="preserve"> </v>
      </c>
      <c r="E243" s="14" t="str">
        <f ca="1">Start.listina!X70</f>
        <v xml:space="preserve"> </v>
      </c>
      <c r="F243" s="14"/>
      <c r="G243" s="121"/>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21"/>
      <c r="H244" s="7"/>
      <c r="I244" s="7"/>
    </row>
    <row r="245" spans="1:9">
      <c r="A245" s="14">
        <f ca="1">Start.listina!AH71</f>
        <v>0</v>
      </c>
      <c r="B245" s="14" t="str">
        <f ca="1">Start.listina!I71</f>
        <v/>
      </c>
      <c r="C245" s="227" t="str">
        <f ca="1">Start.listina!J71</f>
        <v xml:space="preserve"> </v>
      </c>
      <c r="D245" s="14" t="str">
        <f ca="1">Start.listina!K71</f>
        <v xml:space="preserve"> </v>
      </c>
      <c r="E245" s="14" t="str">
        <f ca="1">Start.listina!L71</f>
        <v xml:space="preserve"> </v>
      </c>
      <c r="F245" s="14"/>
      <c r="G245" s="121" t="str">
        <f ca="1">IF(N(A245)&gt;0,VLOOKUP(A245,Body!$A$4:$F$259,5,0),"")</f>
        <v/>
      </c>
      <c r="H245" s="7" t="str">
        <f ca="1">IF(N(A245)&gt;0,VLOOKUP(A245,Body!$A$4:$F$259,6,0),"")</f>
        <v/>
      </c>
      <c r="I245" s="7" t="str">
        <f ca="1">IF(N(A245)&gt;0,VLOOKUP(A245,Body!$A$4:$F$259,2,0),"")</f>
        <v/>
      </c>
    </row>
    <row r="246" spans="1:9">
      <c r="A246" s="14"/>
      <c r="B246" s="14" t="str">
        <f ca="1">Start.listina!O71</f>
        <v/>
      </c>
      <c r="C246" s="14" t="str">
        <f ca="1">Start.listina!P71</f>
        <v xml:space="preserve"> </v>
      </c>
      <c r="D246" s="14" t="str">
        <f ca="1">Start.listina!Q71</f>
        <v xml:space="preserve"> </v>
      </c>
      <c r="E246" s="14" t="str">
        <f ca="1">Start.listina!R71</f>
        <v xml:space="preserve"> </v>
      </c>
      <c r="F246" s="14"/>
      <c r="G246" s="121"/>
      <c r="H246" s="7"/>
      <c r="I246" s="7"/>
    </row>
    <row r="247" spans="1:9">
      <c r="A247" s="14"/>
      <c r="B247" s="14" t="str">
        <f ca="1">Start.listina!U71</f>
        <v/>
      </c>
      <c r="C247" s="14" t="str">
        <f ca="1">Start.listina!V71</f>
        <v xml:space="preserve"> </v>
      </c>
      <c r="D247" s="14" t="str">
        <f ca="1">Start.listina!W71</f>
        <v xml:space="preserve"> </v>
      </c>
      <c r="E247" s="14" t="str">
        <f ca="1">Start.listina!X71</f>
        <v xml:space="preserve"> </v>
      </c>
      <c r="F247" s="14"/>
      <c r="G247" s="121"/>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21"/>
      <c r="H248" s="7"/>
      <c r="I248" s="7"/>
    </row>
    <row r="249" spans="1:9">
      <c r="A249" s="14">
        <f ca="1">Start.listina!AH72</f>
        <v>0</v>
      </c>
      <c r="B249" s="14" t="str">
        <f ca="1">Start.listina!I72</f>
        <v/>
      </c>
      <c r="C249" s="227" t="str">
        <f ca="1">Start.listina!J72</f>
        <v xml:space="preserve"> </v>
      </c>
      <c r="D249" s="14" t="str">
        <f ca="1">Start.listina!K72</f>
        <v xml:space="preserve"> </v>
      </c>
      <c r="E249" s="14" t="str">
        <f ca="1">Start.listina!L72</f>
        <v xml:space="preserve"> </v>
      </c>
      <c r="F249" s="14"/>
      <c r="G249" s="121" t="str">
        <f ca="1">IF(N(A249)&gt;0,VLOOKUP(A249,Body!$A$4:$F$259,5,0),"")</f>
        <v/>
      </c>
      <c r="H249" s="7" t="str">
        <f ca="1">IF(N(A249)&gt;0,VLOOKUP(A249,Body!$A$4:$F$259,6,0),"")</f>
        <v/>
      </c>
      <c r="I249" s="7" t="str">
        <f ca="1">IF(N(A249)&gt;0,VLOOKUP(A249,Body!$A$4:$F$259,2,0),"")</f>
        <v/>
      </c>
    </row>
    <row r="250" spans="1:9">
      <c r="A250" s="14"/>
      <c r="B250" s="14" t="str">
        <f ca="1">Start.listina!O72</f>
        <v/>
      </c>
      <c r="C250" s="14" t="str">
        <f ca="1">Start.listina!P72</f>
        <v xml:space="preserve"> </v>
      </c>
      <c r="D250" s="14" t="str">
        <f ca="1">Start.listina!Q72</f>
        <v xml:space="preserve"> </v>
      </c>
      <c r="E250" s="14" t="str">
        <f ca="1">Start.listina!R72</f>
        <v xml:space="preserve"> </v>
      </c>
      <c r="F250" s="14"/>
      <c r="G250" s="121"/>
      <c r="H250" s="7"/>
      <c r="I250" s="7"/>
    </row>
    <row r="251" spans="1:9">
      <c r="A251" s="14"/>
      <c r="B251" s="14" t="str">
        <f ca="1">Start.listina!U72</f>
        <v/>
      </c>
      <c r="C251" s="14" t="str">
        <f ca="1">Start.listina!V72</f>
        <v xml:space="preserve"> </v>
      </c>
      <c r="D251" s="14" t="str">
        <f ca="1">Start.listina!W72</f>
        <v xml:space="preserve"> </v>
      </c>
      <c r="E251" s="14" t="str">
        <f ca="1">Start.listina!X72</f>
        <v xml:space="preserve"> </v>
      </c>
      <c r="F251" s="14"/>
      <c r="G251" s="121"/>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21"/>
      <c r="H252" s="7"/>
      <c r="I252" s="7"/>
    </row>
    <row r="253" spans="1:9">
      <c r="A253" s="14">
        <f ca="1">Start.listina!AH73</f>
        <v>0</v>
      </c>
      <c r="B253" s="14" t="str">
        <f ca="1">Start.listina!I73</f>
        <v/>
      </c>
      <c r="C253" s="227" t="str">
        <f ca="1">Start.listina!J73</f>
        <v xml:space="preserve"> </v>
      </c>
      <c r="D253" s="14" t="str">
        <f ca="1">Start.listina!K73</f>
        <v xml:space="preserve"> </v>
      </c>
      <c r="E253" s="14" t="str">
        <f ca="1">Start.listina!L73</f>
        <v xml:space="preserve"> </v>
      </c>
      <c r="F253" s="14"/>
      <c r="G253" s="121" t="str">
        <f ca="1">IF(N(A253)&gt;0,VLOOKUP(A253,Body!$A$4:$F$259,5,0),"")</f>
        <v/>
      </c>
      <c r="H253" s="7" t="str">
        <f ca="1">IF(N(A253)&gt;0,VLOOKUP(A253,Body!$A$4:$F$259,6,0),"")</f>
        <v/>
      </c>
      <c r="I253" s="7" t="str">
        <f ca="1">IF(N(A253)&gt;0,VLOOKUP(A253,Body!$A$4:$F$259,2,0),"")</f>
        <v/>
      </c>
    </row>
    <row r="254" spans="1:9">
      <c r="A254" s="14"/>
      <c r="B254" s="14" t="str">
        <f ca="1">Start.listina!O73</f>
        <v/>
      </c>
      <c r="C254" s="14" t="str">
        <f ca="1">Start.listina!P73</f>
        <v xml:space="preserve"> </v>
      </c>
      <c r="D254" s="14" t="str">
        <f ca="1">Start.listina!Q73</f>
        <v xml:space="preserve"> </v>
      </c>
      <c r="E254" s="14" t="str">
        <f ca="1">Start.listina!R73</f>
        <v xml:space="preserve"> </v>
      </c>
      <c r="F254" s="14"/>
      <c r="G254" s="121"/>
      <c r="H254" s="7"/>
      <c r="I254" s="7"/>
    </row>
    <row r="255" spans="1:9">
      <c r="A255" s="14"/>
      <c r="B255" s="14" t="str">
        <f ca="1">Start.listina!U73</f>
        <v/>
      </c>
      <c r="C255" s="14" t="str">
        <f ca="1">Start.listina!V73</f>
        <v xml:space="preserve"> </v>
      </c>
      <c r="D255" s="14" t="str">
        <f ca="1">Start.listina!W73</f>
        <v xml:space="preserve"> </v>
      </c>
      <c r="E255" s="14" t="str">
        <f ca="1">Start.listina!X73</f>
        <v xml:space="preserve"> </v>
      </c>
      <c r="F255" s="14"/>
      <c r="G255" s="121"/>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21"/>
      <c r="H256" s="7"/>
      <c r="I256" s="7"/>
    </row>
    <row r="257" spans="1:9">
      <c r="A257" s="14">
        <f ca="1">Start.listina!AH74</f>
        <v>0</v>
      </c>
      <c r="B257" s="14" t="str">
        <f ca="1">Start.listina!I74</f>
        <v/>
      </c>
      <c r="C257" s="227" t="str">
        <f ca="1">Start.listina!J74</f>
        <v xml:space="preserve"> </v>
      </c>
      <c r="D257" s="14" t="str">
        <f ca="1">Start.listina!K74</f>
        <v xml:space="preserve"> </v>
      </c>
      <c r="E257" s="14" t="str">
        <f ca="1">Start.listina!L74</f>
        <v xml:space="preserve"> </v>
      </c>
      <c r="F257" s="14"/>
      <c r="G257" s="121" t="str">
        <f ca="1">IF(N(A257)&gt;0,VLOOKUP(A257,Body!$A$4:$F$259,5,0),"")</f>
        <v/>
      </c>
      <c r="H257" s="7" t="str">
        <f ca="1">IF(N(A257)&gt;0,VLOOKUP(A257,Body!$A$4:$F$259,6,0),"")</f>
        <v/>
      </c>
      <c r="I257" s="7" t="str">
        <f ca="1">IF(N(A257)&gt;0,VLOOKUP(A257,Body!$A$4:$F$259,2,0),"")</f>
        <v/>
      </c>
    </row>
    <row r="258" spans="1:9">
      <c r="A258" s="14"/>
      <c r="B258" s="14" t="str">
        <f ca="1">Start.listina!O74</f>
        <v/>
      </c>
      <c r="C258" s="14" t="str">
        <f ca="1">Start.listina!P74</f>
        <v xml:space="preserve"> </v>
      </c>
      <c r="D258" s="14" t="str">
        <f ca="1">Start.listina!Q74</f>
        <v xml:space="preserve"> </v>
      </c>
      <c r="E258" s="14" t="str">
        <f ca="1">Start.listina!R74</f>
        <v xml:space="preserve"> </v>
      </c>
      <c r="F258" s="14"/>
      <c r="G258" s="121"/>
      <c r="H258" s="7"/>
      <c r="I258" s="7"/>
    </row>
    <row r="259" spans="1:9">
      <c r="A259" s="14"/>
      <c r="B259" s="14" t="str">
        <f ca="1">Start.listina!U74</f>
        <v/>
      </c>
      <c r="C259" s="14" t="str">
        <f ca="1">Start.listina!V74</f>
        <v xml:space="preserve"> </v>
      </c>
      <c r="D259" s="14" t="str">
        <f ca="1">Start.listina!W74</f>
        <v xml:space="preserve"> </v>
      </c>
      <c r="E259" s="14" t="str">
        <f ca="1">Start.listina!X74</f>
        <v xml:space="preserve"> </v>
      </c>
      <c r="F259" s="14"/>
      <c r="G259" s="121"/>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21"/>
      <c r="H260" s="7"/>
      <c r="I260" s="7"/>
    </row>
    <row r="261" spans="1:9">
      <c r="A261" s="14">
        <f ca="1">Start.listina!AH75</f>
        <v>0</v>
      </c>
      <c r="B261" s="14" t="str">
        <f ca="1">Start.listina!I75</f>
        <v/>
      </c>
      <c r="C261" s="227" t="str">
        <f ca="1">Start.listina!J75</f>
        <v xml:space="preserve"> </v>
      </c>
      <c r="D261" s="14" t="str">
        <f ca="1">Start.listina!K75</f>
        <v xml:space="preserve"> </v>
      </c>
      <c r="E261" s="14" t="str">
        <f ca="1">Start.listina!L75</f>
        <v xml:space="preserve"> </v>
      </c>
      <c r="F261" s="14"/>
      <c r="G261" s="121" t="str">
        <f ca="1">IF(N(A261)&gt;0,VLOOKUP(A261,Body!$A$4:$F$259,5,0),"")</f>
        <v/>
      </c>
      <c r="H261" s="7" t="str">
        <f ca="1">IF(N(A261)&gt;0,VLOOKUP(A261,Body!$A$4:$F$259,6,0),"")</f>
        <v/>
      </c>
      <c r="I261" s="7" t="str">
        <f ca="1">IF(N(A261)&gt;0,VLOOKUP(A261,Body!$A$4:$F$259,2,0),"")</f>
        <v/>
      </c>
    </row>
    <row r="262" spans="1:9">
      <c r="A262" s="14"/>
      <c r="B262" s="14" t="str">
        <f ca="1">Start.listina!O75</f>
        <v/>
      </c>
      <c r="C262" s="14" t="str">
        <f ca="1">Start.listina!P75</f>
        <v xml:space="preserve"> </v>
      </c>
      <c r="D262" s="14" t="str">
        <f ca="1">Start.listina!Q75</f>
        <v xml:space="preserve"> </v>
      </c>
      <c r="E262" s="14" t="str">
        <f ca="1">Start.listina!R75</f>
        <v xml:space="preserve"> </v>
      </c>
      <c r="F262" s="14"/>
      <c r="G262" s="121"/>
      <c r="H262" s="7"/>
      <c r="I262" s="7"/>
    </row>
    <row r="263" spans="1:9">
      <c r="A263" s="14"/>
      <c r="B263" s="14" t="str">
        <f ca="1">Start.listina!U75</f>
        <v/>
      </c>
      <c r="C263" s="14" t="str">
        <f ca="1">Start.listina!V75</f>
        <v xml:space="preserve"> </v>
      </c>
      <c r="D263" s="14" t="str">
        <f ca="1">Start.listina!W75</f>
        <v xml:space="preserve"> </v>
      </c>
      <c r="E263" s="14" t="str">
        <f ca="1">Start.listina!X75</f>
        <v xml:space="preserve"> </v>
      </c>
      <c r="F263" s="14"/>
      <c r="G263" s="121"/>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21"/>
      <c r="H264" s="7"/>
      <c r="I264" s="7"/>
    </row>
    <row r="265" spans="1:9">
      <c r="A265" s="14">
        <f ca="1">Start.listina!AH76</f>
        <v>0</v>
      </c>
      <c r="B265" s="14" t="str">
        <f ca="1">Start.listina!I76</f>
        <v/>
      </c>
      <c r="C265" s="227" t="str">
        <f ca="1">Start.listina!J76</f>
        <v xml:space="preserve"> </v>
      </c>
      <c r="D265" s="14" t="str">
        <f ca="1">Start.listina!K76</f>
        <v xml:space="preserve"> </v>
      </c>
      <c r="E265" s="14" t="str">
        <f ca="1">Start.listina!L76</f>
        <v xml:space="preserve"> </v>
      </c>
      <c r="F265" s="14"/>
      <c r="G265" s="121" t="str">
        <f ca="1">IF(N(A265)&gt;0,VLOOKUP(A265,Body!$A$4:$F$259,5,0),"")</f>
        <v/>
      </c>
      <c r="H265" s="7" t="str">
        <f ca="1">IF(N(A265)&gt;0,VLOOKUP(A265,Body!$A$4:$F$259,6,0),"")</f>
        <v/>
      </c>
      <c r="I265" s="7" t="str">
        <f ca="1">IF(N(A265)&gt;0,VLOOKUP(A265,Body!$A$4:$F$259,2,0),"")</f>
        <v/>
      </c>
    </row>
    <row r="266" spans="1:9">
      <c r="A266" s="14"/>
      <c r="B266" s="14" t="str">
        <f ca="1">Start.listina!O76</f>
        <v/>
      </c>
      <c r="C266" s="14" t="str">
        <f ca="1">Start.listina!P76</f>
        <v xml:space="preserve"> </v>
      </c>
      <c r="D266" s="14" t="str">
        <f ca="1">Start.listina!Q76</f>
        <v xml:space="preserve"> </v>
      </c>
      <c r="E266" s="14" t="str">
        <f ca="1">Start.listina!R76</f>
        <v xml:space="preserve"> </v>
      </c>
      <c r="F266" s="14"/>
      <c r="G266" s="121"/>
      <c r="H266" s="7"/>
      <c r="I266" s="7"/>
    </row>
    <row r="267" spans="1:9">
      <c r="A267" s="14"/>
      <c r="B267" s="14" t="str">
        <f ca="1">Start.listina!U76</f>
        <v/>
      </c>
      <c r="C267" s="14" t="str">
        <f ca="1">Start.listina!V76</f>
        <v xml:space="preserve"> </v>
      </c>
      <c r="D267" s="14" t="str">
        <f ca="1">Start.listina!W76</f>
        <v xml:space="preserve"> </v>
      </c>
      <c r="E267" s="14" t="str">
        <f ca="1">Start.listina!X76</f>
        <v xml:space="preserve"> </v>
      </c>
      <c r="F267" s="14"/>
      <c r="G267" s="121"/>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21"/>
      <c r="H268" s="7"/>
      <c r="I268" s="7"/>
    </row>
    <row r="269" spans="1:9">
      <c r="A269" s="14">
        <f ca="1">Start.listina!AH77</f>
        <v>0</v>
      </c>
      <c r="B269" s="14" t="str">
        <f ca="1">Start.listina!I77</f>
        <v/>
      </c>
      <c r="C269" s="227" t="str">
        <f ca="1">Start.listina!J77</f>
        <v xml:space="preserve"> </v>
      </c>
      <c r="D269" s="14" t="str">
        <f ca="1">Start.listina!K77</f>
        <v xml:space="preserve"> </v>
      </c>
      <c r="E269" s="14" t="str">
        <f ca="1">Start.listina!L77</f>
        <v xml:space="preserve"> </v>
      </c>
      <c r="F269" s="14"/>
      <c r="G269" s="121" t="str">
        <f ca="1">IF(N(A269)&gt;0,VLOOKUP(A269,Body!$A$4:$F$259,5,0),"")</f>
        <v/>
      </c>
      <c r="H269" s="7" t="str">
        <f ca="1">IF(N(A269)&gt;0,VLOOKUP(A269,Body!$A$4:$F$259,6,0),"")</f>
        <v/>
      </c>
      <c r="I269" s="7" t="str">
        <f ca="1">IF(N(A269)&gt;0,VLOOKUP(A269,Body!$A$4:$F$259,2,0),"")</f>
        <v/>
      </c>
    </row>
    <row r="270" spans="1:9">
      <c r="A270" s="14"/>
      <c r="B270" s="14" t="str">
        <f ca="1">Start.listina!O77</f>
        <v/>
      </c>
      <c r="C270" s="14" t="str">
        <f ca="1">Start.listina!P77</f>
        <v xml:space="preserve"> </v>
      </c>
      <c r="D270" s="14" t="str">
        <f ca="1">Start.listina!Q77</f>
        <v xml:space="preserve"> </v>
      </c>
      <c r="E270" s="14" t="str">
        <f ca="1">Start.listina!R77</f>
        <v xml:space="preserve"> </v>
      </c>
      <c r="F270" s="14"/>
      <c r="G270" s="121"/>
      <c r="H270" s="7"/>
      <c r="I270" s="7"/>
    </row>
    <row r="271" spans="1:9">
      <c r="A271" s="14"/>
      <c r="B271" s="14" t="str">
        <f ca="1">Start.listina!U77</f>
        <v/>
      </c>
      <c r="C271" s="14" t="str">
        <f ca="1">Start.listina!V77</f>
        <v xml:space="preserve"> </v>
      </c>
      <c r="D271" s="14" t="str">
        <f ca="1">Start.listina!W77</f>
        <v xml:space="preserve"> </v>
      </c>
      <c r="E271" s="14" t="str">
        <f ca="1">Start.listina!X77</f>
        <v xml:space="preserve"> </v>
      </c>
      <c r="F271" s="14"/>
      <c r="G271" s="121"/>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21"/>
      <c r="H272" s="7"/>
      <c r="I272" s="7"/>
    </row>
    <row r="273" spans="1:9">
      <c r="A273" s="14">
        <f ca="1">Start.listina!AH78</f>
        <v>0</v>
      </c>
      <c r="B273" s="14" t="str">
        <f ca="1">Start.listina!I78</f>
        <v/>
      </c>
      <c r="C273" s="227" t="str">
        <f ca="1">Start.listina!J78</f>
        <v xml:space="preserve"> </v>
      </c>
      <c r="D273" s="14" t="str">
        <f ca="1">Start.listina!K78</f>
        <v xml:space="preserve"> </v>
      </c>
      <c r="E273" s="14" t="str">
        <f ca="1">Start.listina!L78</f>
        <v xml:space="preserve"> </v>
      </c>
      <c r="F273" s="14"/>
      <c r="G273" s="121" t="str">
        <f ca="1">IF(N(A273)&gt;0,VLOOKUP(A273,Body!$A$4:$F$259,5,0),"")</f>
        <v/>
      </c>
      <c r="H273" s="7" t="str">
        <f ca="1">IF(N(A273)&gt;0,VLOOKUP(A273,Body!$A$4:$F$259,6,0),"")</f>
        <v/>
      </c>
      <c r="I273" s="7" t="str">
        <f ca="1">IF(N(A273)&gt;0,VLOOKUP(A273,Body!$A$4:$F$259,2,0),"")</f>
        <v/>
      </c>
    </row>
    <row r="274" spans="1:9">
      <c r="A274" s="14"/>
      <c r="B274" s="14" t="str">
        <f ca="1">Start.listina!O78</f>
        <v/>
      </c>
      <c r="C274" s="14" t="str">
        <f ca="1">Start.listina!P78</f>
        <v xml:space="preserve"> </v>
      </c>
      <c r="D274" s="14" t="str">
        <f ca="1">Start.listina!Q78</f>
        <v xml:space="preserve"> </v>
      </c>
      <c r="E274" s="14" t="str">
        <f ca="1">Start.listina!R78</f>
        <v xml:space="preserve"> </v>
      </c>
      <c r="F274" s="14"/>
      <c r="G274" s="121"/>
      <c r="H274" s="7"/>
      <c r="I274" s="7"/>
    </row>
    <row r="275" spans="1:9">
      <c r="A275" s="14"/>
      <c r="B275" s="14" t="str">
        <f ca="1">Start.listina!U78</f>
        <v/>
      </c>
      <c r="C275" s="14" t="str">
        <f ca="1">Start.listina!V78</f>
        <v xml:space="preserve"> </v>
      </c>
      <c r="D275" s="14" t="str">
        <f ca="1">Start.listina!W78</f>
        <v xml:space="preserve"> </v>
      </c>
      <c r="E275" s="14" t="str">
        <f ca="1">Start.listina!X78</f>
        <v xml:space="preserve"> </v>
      </c>
      <c r="F275" s="14"/>
      <c r="G275" s="121"/>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21"/>
      <c r="H276" s="7"/>
      <c r="I276" s="7"/>
    </row>
    <row r="277" spans="1:9">
      <c r="A277" s="14">
        <f ca="1">Start.listina!AH79</f>
        <v>0</v>
      </c>
      <c r="B277" s="14" t="str">
        <f ca="1">Start.listina!I79</f>
        <v/>
      </c>
      <c r="C277" s="227" t="str">
        <f ca="1">Start.listina!J79</f>
        <v xml:space="preserve"> </v>
      </c>
      <c r="D277" s="14" t="str">
        <f ca="1">Start.listina!K79</f>
        <v xml:space="preserve"> </v>
      </c>
      <c r="E277" s="14" t="str">
        <f ca="1">Start.listina!L79</f>
        <v xml:space="preserve"> </v>
      </c>
      <c r="F277" s="14"/>
      <c r="G277" s="121" t="str">
        <f ca="1">IF(N(A277)&gt;0,VLOOKUP(A277,Body!$A$4:$F$259,5,0),"")</f>
        <v/>
      </c>
      <c r="H277" s="7" t="str">
        <f ca="1">IF(N(A277)&gt;0,VLOOKUP(A277,Body!$A$4:$F$259,6,0),"")</f>
        <v/>
      </c>
      <c r="I277" s="7" t="str">
        <f ca="1">IF(N(A277)&gt;0,VLOOKUP(A277,Body!$A$4:$F$259,2,0),"")</f>
        <v/>
      </c>
    </row>
    <row r="278" spans="1:9">
      <c r="A278" s="14"/>
      <c r="B278" s="14" t="str">
        <f ca="1">Start.listina!O79</f>
        <v/>
      </c>
      <c r="C278" s="14" t="str">
        <f ca="1">Start.listina!P79</f>
        <v xml:space="preserve"> </v>
      </c>
      <c r="D278" s="14" t="str">
        <f ca="1">Start.listina!Q79</f>
        <v xml:space="preserve"> </v>
      </c>
      <c r="E278" s="14" t="str">
        <f ca="1">Start.listina!R79</f>
        <v xml:space="preserve"> </v>
      </c>
      <c r="F278" s="14"/>
      <c r="G278" s="121"/>
      <c r="H278" s="7"/>
      <c r="I278" s="7"/>
    </row>
    <row r="279" spans="1:9">
      <c r="A279" s="14"/>
      <c r="B279" s="14" t="str">
        <f ca="1">Start.listina!U79</f>
        <v/>
      </c>
      <c r="C279" s="14" t="str">
        <f ca="1">Start.listina!V79</f>
        <v xml:space="preserve"> </v>
      </c>
      <c r="D279" s="14" t="str">
        <f ca="1">Start.listina!W79</f>
        <v xml:space="preserve"> </v>
      </c>
      <c r="E279" s="14" t="str">
        <f ca="1">Start.listina!X79</f>
        <v xml:space="preserve"> </v>
      </c>
      <c r="F279" s="14"/>
      <c r="G279" s="121"/>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21"/>
      <c r="H280" s="7"/>
      <c r="I280" s="7"/>
    </row>
    <row r="281" spans="1:9">
      <c r="A281" s="14">
        <f ca="1">Start.listina!AH80</f>
        <v>0</v>
      </c>
      <c r="B281" s="14" t="str">
        <f ca="1">Start.listina!I80</f>
        <v/>
      </c>
      <c r="C281" s="227" t="str">
        <f ca="1">Start.listina!J80</f>
        <v xml:space="preserve"> </v>
      </c>
      <c r="D281" s="14" t="str">
        <f ca="1">Start.listina!K80</f>
        <v xml:space="preserve"> </v>
      </c>
      <c r="E281" s="14" t="str">
        <f ca="1">Start.listina!L80</f>
        <v xml:space="preserve"> </v>
      </c>
      <c r="F281" s="14"/>
      <c r="G281" s="121" t="str">
        <f ca="1">IF(N(A281)&gt;0,VLOOKUP(A281,Body!$A$4:$F$259,5,0),"")</f>
        <v/>
      </c>
      <c r="H281" s="7" t="str">
        <f ca="1">IF(N(A281)&gt;0,VLOOKUP(A281,Body!$A$4:$F$259,6,0),"")</f>
        <v/>
      </c>
      <c r="I281" s="7" t="str">
        <f ca="1">IF(N(A281)&gt;0,VLOOKUP(A281,Body!$A$4:$F$259,2,0),"")</f>
        <v/>
      </c>
    </row>
    <row r="282" spans="1:9">
      <c r="A282" s="14"/>
      <c r="B282" s="14" t="str">
        <f ca="1">Start.listina!O80</f>
        <v/>
      </c>
      <c r="C282" s="14" t="str">
        <f ca="1">Start.listina!P80</f>
        <v xml:space="preserve"> </v>
      </c>
      <c r="D282" s="14" t="str">
        <f ca="1">Start.listina!Q80</f>
        <v xml:space="preserve"> </v>
      </c>
      <c r="E282" s="14" t="str">
        <f ca="1">Start.listina!R80</f>
        <v xml:space="preserve"> </v>
      </c>
      <c r="F282" s="14"/>
      <c r="G282" s="121"/>
      <c r="H282" s="7"/>
      <c r="I282" s="7"/>
    </row>
    <row r="283" spans="1:9">
      <c r="A283" s="14"/>
      <c r="B283" s="14" t="str">
        <f ca="1">Start.listina!U80</f>
        <v/>
      </c>
      <c r="C283" s="14" t="str">
        <f ca="1">Start.listina!V80</f>
        <v xml:space="preserve"> </v>
      </c>
      <c r="D283" s="14" t="str">
        <f ca="1">Start.listina!W80</f>
        <v xml:space="preserve"> </v>
      </c>
      <c r="E283" s="14" t="str">
        <f ca="1">Start.listina!X80</f>
        <v xml:space="preserve"> </v>
      </c>
      <c r="F283" s="14"/>
      <c r="G283" s="121"/>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21"/>
      <c r="H284" s="7"/>
      <c r="I284" s="7"/>
    </row>
    <row r="285" spans="1:9">
      <c r="A285" s="14">
        <f ca="1">Start.listina!AH81</f>
        <v>0</v>
      </c>
      <c r="B285" s="14" t="str">
        <f ca="1">Start.listina!I81</f>
        <v/>
      </c>
      <c r="C285" s="227" t="str">
        <f ca="1">Start.listina!J81</f>
        <v xml:space="preserve"> </v>
      </c>
      <c r="D285" s="14" t="str">
        <f ca="1">Start.listina!K81</f>
        <v xml:space="preserve"> </v>
      </c>
      <c r="E285" s="14" t="str">
        <f ca="1">Start.listina!L81</f>
        <v xml:space="preserve"> </v>
      </c>
      <c r="F285" s="14"/>
      <c r="G285" s="121" t="str">
        <f ca="1">IF(N(A285)&gt;0,VLOOKUP(A285,Body!$A$4:$F$259,5,0),"")</f>
        <v/>
      </c>
      <c r="H285" s="7" t="str">
        <f ca="1">IF(N(A285)&gt;0,VLOOKUP(A285,Body!$A$4:$F$259,6,0),"")</f>
        <v/>
      </c>
      <c r="I285" s="7" t="str">
        <f ca="1">IF(N(A285)&gt;0,VLOOKUP(A285,Body!$A$4:$F$259,2,0),"")</f>
        <v/>
      </c>
    </row>
    <row r="286" spans="1:9">
      <c r="A286" s="14"/>
      <c r="B286" s="14" t="str">
        <f ca="1">Start.listina!O81</f>
        <v/>
      </c>
      <c r="C286" s="14" t="str">
        <f ca="1">Start.listina!P81</f>
        <v xml:space="preserve"> </v>
      </c>
      <c r="D286" s="14" t="str">
        <f ca="1">Start.listina!Q81</f>
        <v xml:space="preserve"> </v>
      </c>
      <c r="E286" s="14" t="str">
        <f ca="1">Start.listina!R81</f>
        <v xml:space="preserve"> </v>
      </c>
      <c r="F286" s="14"/>
      <c r="G286" s="121"/>
      <c r="H286" s="7"/>
      <c r="I286" s="7"/>
    </row>
    <row r="287" spans="1:9">
      <c r="A287" s="14"/>
      <c r="B287" s="14" t="str">
        <f ca="1">Start.listina!U81</f>
        <v/>
      </c>
      <c r="C287" s="14" t="str">
        <f ca="1">Start.listina!V81</f>
        <v xml:space="preserve"> </v>
      </c>
      <c r="D287" s="14" t="str">
        <f ca="1">Start.listina!W81</f>
        <v xml:space="preserve"> </v>
      </c>
      <c r="E287" s="14" t="str">
        <f ca="1">Start.listina!X81</f>
        <v xml:space="preserve"> </v>
      </c>
      <c r="F287" s="14"/>
      <c r="G287" s="121"/>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21"/>
      <c r="H288" s="7"/>
      <c r="I288" s="7"/>
    </row>
    <row r="289" spans="1:9">
      <c r="A289" s="14">
        <f ca="1">Start.listina!AH82</f>
        <v>0</v>
      </c>
      <c r="B289" s="14" t="str">
        <f ca="1">Start.listina!I82</f>
        <v/>
      </c>
      <c r="C289" s="227" t="str">
        <f ca="1">Start.listina!J82</f>
        <v xml:space="preserve"> </v>
      </c>
      <c r="D289" s="14" t="str">
        <f ca="1">Start.listina!K82</f>
        <v xml:space="preserve"> </v>
      </c>
      <c r="E289" s="14" t="str">
        <f ca="1">Start.listina!L82</f>
        <v xml:space="preserve"> </v>
      </c>
      <c r="F289" s="14"/>
      <c r="G289" s="121" t="str">
        <f ca="1">IF(N(A289)&gt;0,VLOOKUP(A289,Body!$A$4:$F$259,5,0),"")</f>
        <v/>
      </c>
      <c r="H289" s="7" t="str">
        <f ca="1">IF(N(A289)&gt;0,VLOOKUP(A289,Body!$A$4:$F$259,6,0),"")</f>
        <v/>
      </c>
      <c r="I289" s="7" t="str">
        <f ca="1">IF(N(A289)&gt;0,VLOOKUP(A289,Body!$A$4:$F$259,2,0),"")</f>
        <v/>
      </c>
    </row>
    <row r="290" spans="1:9">
      <c r="A290" s="14"/>
      <c r="B290" s="14" t="str">
        <f ca="1">Start.listina!O82</f>
        <v/>
      </c>
      <c r="C290" s="14" t="str">
        <f ca="1">Start.listina!P82</f>
        <v xml:space="preserve"> </v>
      </c>
      <c r="D290" s="14" t="str">
        <f ca="1">Start.listina!Q82</f>
        <v xml:space="preserve"> </v>
      </c>
      <c r="E290" s="14" t="str">
        <f ca="1">Start.listina!R82</f>
        <v xml:space="preserve"> </v>
      </c>
      <c r="F290" s="14"/>
      <c r="G290" s="121"/>
      <c r="H290" s="7"/>
      <c r="I290" s="7"/>
    </row>
    <row r="291" spans="1:9">
      <c r="A291" s="14"/>
      <c r="B291" s="14" t="str">
        <f ca="1">Start.listina!U82</f>
        <v/>
      </c>
      <c r="C291" s="14" t="str">
        <f ca="1">Start.listina!V82</f>
        <v xml:space="preserve"> </v>
      </c>
      <c r="D291" s="14" t="str">
        <f ca="1">Start.listina!W82</f>
        <v xml:space="preserve"> </v>
      </c>
      <c r="E291" s="14" t="str">
        <f ca="1">Start.listina!X82</f>
        <v xml:space="preserve"> </v>
      </c>
      <c r="F291" s="14"/>
      <c r="G291" s="121"/>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21"/>
      <c r="H292" s="7"/>
      <c r="I292" s="7"/>
    </row>
    <row r="293" spans="1:9">
      <c r="A293" s="14">
        <f ca="1">Start.listina!AH83</f>
        <v>0</v>
      </c>
      <c r="B293" s="14" t="str">
        <f ca="1">Start.listina!I83</f>
        <v/>
      </c>
      <c r="C293" s="227" t="str">
        <f ca="1">Start.listina!J83</f>
        <v xml:space="preserve"> </v>
      </c>
      <c r="D293" s="14" t="str">
        <f ca="1">Start.listina!K83</f>
        <v xml:space="preserve"> </v>
      </c>
      <c r="E293" s="14" t="str">
        <f ca="1">Start.listina!L83</f>
        <v xml:space="preserve"> </v>
      </c>
      <c r="F293" s="14"/>
      <c r="G293" s="121" t="str">
        <f ca="1">IF(N(A293)&gt;0,VLOOKUP(A293,Body!$A$4:$F$259,5,0),"")</f>
        <v/>
      </c>
      <c r="H293" s="7" t="str">
        <f ca="1">IF(N(A293)&gt;0,VLOOKUP(A293,Body!$A$4:$F$259,6,0),"")</f>
        <v/>
      </c>
      <c r="I293" s="7" t="str">
        <f ca="1">IF(N(A293)&gt;0,VLOOKUP(A293,Body!$A$4:$F$259,2,0),"")</f>
        <v/>
      </c>
    </row>
    <row r="294" spans="1:9">
      <c r="A294" s="14"/>
      <c r="B294" s="14" t="str">
        <f ca="1">Start.listina!O83</f>
        <v/>
      </c>
      <c r="C294" s="14" t="str">
        <f ca="1">Start.listina!P83</f>
        <v xml:space="preserve"> </v>
      </c>
      <c r="D294" s="14" t="str">
        <f ca="1">Start.listina!Q83</f>
        <v xml:space="preserve"> </v>
      </c>
      <c r="E294" s="14" t="str">
        <f ca="1">Start.listina!R83</f>
        <v xml:space="preserve"> </v>
      </c>
      <c r="F294" s="14"/>
      <c r="G294" s="121"/>
      <c r="H294" s="7"/>
      <c r="I294" s="7"/>
    </row>
    <row r="295" spans="1:9">
      <c r="A295" s="14"/>
      <c r="B295" s="14" t="str">
        <f ca="1">Start.listina!U83</f>
        <v/>
      </c>
      <c r="C295" s="14" t="str">
        <f ca="1">Start.listina!V83</f>
        <v xml:space="preserve"> </v>
      </c>
      <c r="D295" s="14" t="str">
        <f ca="1">Start.listina!W83</f>
        <v xml:space="preserve"> </v>
      </c>
      <c r="E295" s="14" t="str">
        <f ca="1">Start.listina!X83</f>
        <v xml:space="preserve"> </v>
      </c>
      <c r="F295" s="14"/>
      <c r="G295" s="121"/>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21"/>
      <c r="H296" s="7"/>
      <c r="I296" s="7"/>
    </row>
    <row r="297" spans="1:9">
      <c r="A297" s="14">
        <f ca="1">Start.listina!AH84</f>
        <v>0</v>
      </c>
      <c r="B297" s="14" t="str">
        <f ca="1">Start.listina!I84</f>
        <v/>
      </c>
      <c r="C297" s="227" t="str">
        <f ca="1">Start.listina!J84</f>
        <v xml:space="preserve"> </v>
      </c>
      <c r="D297" s="14" t="str">
        <f ca="1">Start.listina!K84</f>
        <v xml:space="preserve"> </v>
      </c>
      <c r="E297" s="14" t="str">
        <f ca="1">Start.listina!L84</f>
        <v xml:space="preserve"> </v>
      </c>
      <c r="F297" s="14"/>
      <c r="G297" s="121" t="str">
        <f ca="1">IF(N(A297)&gt;0,VLOOKUP(A297,Body!$A$4:$F$259,5,0),"")</f>
        <v/>
      </c>
      <c r="H297" s="7" t="str">
        <f ca="1">IF(N(A297)&gt;0,VLOOKUP(A297,Body!$A$4:$F$259,6,0),"")</f>
        <v/>
      </c>
      <c r="I297" s="7" t="str">
        <f ca="1">IF(N(A297)&gt;0,VLOOKUP(A297,Body!$A$4:$F$259,2,0),"")</f>
        <v/>
      </c>
    </row>
    <row r="298" spans="1:9">
      <c r="A298" s="14"/>
      <c r="B298" s="14" t="str">
        <f ca="1">Start.listina!O84</f>
        <v/>
      </c>
      <c r="C298" s="14" t="str">
        <f ca="1">Start.listina!P84</f>
        <v xml:space="preserve"> </v>
      </c>
      <c r="D298" s="14" t="str">
        <f ca="1">Start.listina!Q84</f>
        <v xml:space="preserve"> </v>
      </c>
      <c r="E298" s="14" t="str">
        <f ca="1">Start.listina!R84</f>
        <v xml:space="preserve"> </v>
      </c>
      <c r="F298" s="14"/>
      <c r="G298" s="121"/>
      <c r="H298" s="7"/>
      <c r="I298" s="7"/>
    </row>
    <row r="299" spans="1:9">
      <c r="A299" s="14"/>
      <c r="B299" s="14" t="str">
        <f ca="1">Start.listina!U84</f>
        <v/>
      </c>
      <c r="C299" s="14" t="str">
        <f ca="1">Start.listina!V84</f>
        <v xml:space="preserve"> </v>
      </c>
      <c r="D299" s="14" t="str">
        <f ca="1">Start.listina!W84</f>
        <v xml:space="preserve"> </v>
      </c>
      <c r="E299" s="14" t="str">
        <f ca="1">Start.listina!X84</f>
        <v xml:space="preserve"> </v>
      </c>
      <c r="F299" s="14"/>
      <c r="G299" s="121"/>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21"/>
      <c r="H300" s="7"/>
      <c r="I300" s="7"/>
    </row>
    <row r="301" spans="1:9">
      <c r="A301" s="14">
        <f ca="1">Start.listina!AH85</f>
        <v>0</v>
      </c>
      <c r="B301" s="14" t="str">
        <f ca="1">Start.listina!I85</f>
        <v/>
      </c>
      <c r="C301" s="227" t="str">
        <f ca="1">Start.listina!J85</f>
        <v xml:space="preserve"> </v>
      </c>
      <c r="D301" s="14" t="str">
        <f ca="1">Start.listina!K85</f>
        <v xml:space="preserve"> </v>
      </c>
      <c r="E301" s="14" t="str">
        <f ca="1">Start.listina!L85</f>
        <v xml:space="preserve"> </v>
      </c>
      <c r="F301" s="14"/>
      <c r="G301" s="121" t="str">
        <f ca="1">IF(N(A301)&gt;0,VLOOKUP(A301,Body!$A$4:$F$259,5,0),"")</f>
        <v/>
      </c>
      <c r="H301" s="7" t="str">
        <f ca="1">IF(N(A301)&gt;0,VLOOKUP(A301,Body!$A$4:$F$259,6,0),"")</f>
        <v/>
      </c>
      <c r="I301" s="7" t="str">
        <f ca="1">IF(N(A301)&gt;0,VLOOKUP(A301,Body!$A$4:$F$259,2,0),"")</f>
        <v/>
      </c>
    </row>
    <row r="302" spans="1:9">
      <c r="A302" s="14"/>
      <c r="B302" s="14" t="str">
        <f ca="1">Start.listina!O85</f>
        <v/>
      </c>
      <c r="C302" s="14" t="str">
        <f ca="1">Start.listina!P85</f>
        <v xml:space="preserve"> </v>
      </c>
      <c r="D302" s="14" t="str">
        <f ca="1">Start.listina!Q85</f>
        <v xml:space="preserve"> </v>
      </c>
      <c r="E302" s="14" t="str">
        <f ca="1">Start.listina!R85</f>
        <v xml:space="preserve"> </v>
      </c>
      <c r="F302" s="14"/>
      <c r="G302" s="121"/>
      <c r="H302" s="7"/>
      <c r="I302" s="7"/>
    </row>
    <row r="303" spans="1:9">
      <c r="A303" s="14"/>
      <c r="B303" s="14" t="str">
        <f ca="1">Start.listina!U85</f>
        <v/>
      </c>
      <c r="C303" s="14" t="str">
        <f ca="1">Start.listina!V85</f>
        <v xml:space="preserve"> </v>
      </c>
      <c r="D303" s="14" t="str">
        <f ca="1">Start.listina!W85</f>
        <v xml:space="preserve"> </v>
      </c>
      <c r="E303" s="14" t="str">
        <f ca="1">Start.listina!X85</f>
        <v xml:space="preserve"> </v>
      </c>
      <c r="F303" s="14"/>
      <c r="G303" s="121"/>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21"/>
      <c r="H304" s="7"/>
      <c r="I304" s="7"/>
    </row>
    <row r="305" spans="1:9">
      <c r="A305" s="14">
        <f ca="1">Start.listina!AH86</f>
        <v>0</v>
      </c>
      <c r="B305" s="14" t="str">
        <f ca="1">Start.listina!I86</f>
        <v/>
      </c>
      <c r="C305" s="227" t="str">
        <f ca="1">Start.listina!J86</f>
        <v xml:space="preserve"> </v>
      </c>
      <c r="D305" s="14" t="str">
        <f ca="1">Start.listina!K86</f>
        <v xml:space="preserve"> </v>
      </c>
      <c r="E305" s="14" t="str">
        <f ca="1">Start.listina!L86</f>
        <v xml:space="preserve"> </v>
      </c>
      <c r="F305" s="14"/>
      <c r="G305" s="121" t="str">
        <f ca="1">IF(N(A305)&gt;0,VLOOKUP(A305,Body!$A$4:$F$259,5,0),"")</f>
        <v/>
      </c>
      <c r="H305" s="7" t="str">
        <f ca="1">IF(N(A305)&gt;0,VLOOKUP(A305,Body!$A$4:$F$259,6,0),"")</f>
        <v/>
      </c>
      <c r="I305" s="7" t="str">
        <f ca="1">IF(N(A305)&gt;0,VLOOKUP(A305,Body!$A$4:$F$259,2,0),"")</f>
        <v/>
      </c>
    </row>
    <row r="306" spans="1:9">
      <c r="A306" s="14"/>
      <c r="B306" s="14" t="str">
        <f ca="1">Start.listina!O86</f>
        <v/>
      </c>
      <c r="C306" s="14" t="str">
        <f ca="1">Start.listina!P86</f>
        <v xml:space="preserve"> </v>
      </c>
      <c r="D306" s="14" t="str">
        <f ca="1">Start.listina!Q86</f>
        <v xml:space="preserve"> </v>
      </c>
      <c r="E306" s="14" t="str">
        <f ca="1">Start.listina!R86</f>
        <v xml:space="preserve"> </v>
      </c>
      <c r="F306" s="14"/>
      <c r="G306" s="121"/>
      <c r="H306" s="7"/>
      <c r="I306" s="7"/>
    </row>
    <row r="307" spans="1:9">
      <c r="A307" s="14"/>
      <c r="B307" s="14" t="str">
        <f ca="1">Start.listina!U86</f>
        <v/>
      </c>
      <c r="C307" s="14" t="str">
        <f ca="1">Start.listina!V86</f>
        <v xml:space="preserve"> </v>
      </c>
      <c r="D307" s="14" t="str">
        <f ca="1">Start.listina!W86</f>
        <v xml:space="preserve"> </v>
      </c>
      <c r="E307" s="14" t="str">
        <f ca="1">Start.listina!X86</f>
        <v xml:space="preserve"> </v>
      </c>
      <c r="F307" s="14"/>
      <c r="G307" s="121"/>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21"/>
      <c r="H308" s="7"/>
      <c r="I308" s="7"/>
    </row>
    <row r="309" spans="1:9">
      <c r="A309" s="14">
        <f ca="1">Start.listina!AH87</f>
        <v>0</v>
      </c>
      <c r="B309" s="14" t="str">
        <f ca="1">Start.listina!I87</f>
        <v/>
      </c>
      <c r="C309" s="227" t="str">
        <f ca="1">Start.listina!J87</f>
        <v xml:space="preserve"> </v>
      </c>
      <c r="D309" s="14" t="str">
        <f ca="1">Start.listina!K87</f>
        <v xml:space="preserve"> </v>
      </c>
      <c r="E309" s="14" t="str">
        <f ca="1">Start.listina!L87</f>
        <v xml:space="preserve"> </v>
      </c>
      <c r="F309" s="14"/>
      <c r="G309" s="121" t="str">
        <f ca="1">IF(N(A309)&gt;0,VLOOKUP(A309,Body!$A$4:$F$259,5,0),"")</f>
        <v/>
      </c>
      <c r="H309" s="7" t="str">
        <f ca="1">IF(N(A309)&gt;0,VLOOKUP(A309,Body!$A$4:$F$259,6,0),"")</f>
        <v/>
      </c>
      <c r="I309" s="7" t="str">
        <f ca="1">IF(N(A309)&gt;0,VLOOKUP(A309,Body!$A$4:$F$259,2,0),"")</f>
        <v/>
      </c>
    </row>
    <row r="310" spans="1:9">
      <c r="A310" s="14"/>
      <c r="B310" s="14" t="str">
        <f ca="1">Start.listina!O87</f>
        <v/>
      </c>
      <c r="C310" s="14" t="str">
        <f ca="1">Start.listina!P87</f>
        <v xml:space="preserve"> </v>
      </c>
      <c r="D310" s="14" t="str">
        <f ca="1">Start.listina!Q87</f>
        <v xml:space="preserve"> </v>
      </c>
      <c r="E310" s="14" t="str">
        <f ca="1">Start.listina!R87</f>
        <v xml:space="preserve"> </v>
      </c>
      <c r="F310" s="14"/>
      <c r="G310" s="121"/>
      <c r="H310" s="7"/>
      <c r="I310" s="7"/>
    </row>
    <row r="311" spans="1:9">
      <c r="A311" s="14"/>
      <c r="B311" s="14" t="str">
        <f ca="1">Start.listina!U87</f>
        <v/>
      </c>
      <c r="C311" s="14" t="str">
        <f ca="1">Start.listina!V87</f>
        <v xml:space="preserve"> </v>
      </c>
      <c r="D311" s="14" t="str">
        <f ca="1">Start.listina!W87</f>
        <v xml:space="preserve"> </v>
      </c>
      <c r="E311" s="14" t="str">
        <f ca="1">Start.listina!X87</f>
        <v xml:space="preserve"> </v>
      </c>
      <c r="F311" s="14"/>
      <c r="G311" s="121"/>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21"/>
      <c r="H312" s="7"/>
      <c r="I312" s="7"/>
    </row>
    <row r="313" spans="1:9">
      <c r="A313" s="14">
        <f ca="1">Start.listina!AH88</f>
        <v>0</v>
      </c>
      <c r="B313" s="14" t="str">
        <f ca="1">Start.listina!I88</f>
        <v/>
      </c>
      <c r="C313" s="227" t="str">
        <f ca="1">Start.listina!J88</f>
        <v xml:space="preserve"> </v>
      </c>
      <c r="D313" s="14" t="str">
        <f ca="1">Start.listina!K88</f>
        <v xml:space="preserve"> </v>
      </c>
      <c r="E313" s="14" t="str">
        <f ca="1">Start.listina!L88</f>
        <v xml:space="preserve"> </v>
      </c>
      <c r="F313" s="14"/>
      <c r="G313" s="121" t="str">
        <f ca="1">IF(N(A313)&gt;0,VLOOKUP(A313,Body!$A$4:$F$259,5,0),"")</f>
        <v/>
      </c>
      <c r="H313" s="7" t="str">
        <f ca="1">IF(N(A313)&gt;0,VLOOKUP(A313,Body!$A$4:$F$259,6,0),"")</f>
        <v/>
      </c>
      <c r="I313" s="7" t="str">
        <f ca="1">IF(N(A313)&gt;0,VLOOKUP(A313,Body!$A$4:$F$259,2,0),"")</f>
        <v/>
      </c>
    </row>
    <row r="314" spans="1:9">
      <c r="A314" s="14"/>
      <c r="B314" s="14" t="str">
        <f ca="1">Start.listina!O88</f>
        <v/>
      </c>
      <c r="C314" s="14" t="str">
        <f ca="1">Start.listina!P88</f>
        <v xml:space="preserve"> </v>
      </c>
      <c r="D314" s="14" t="str">
        <f ca="1">Start.listina!Q88</f>
        <v xml:space="preserve"> </v>
      </c>
      <c r="E314" s="14" t="str">
        <f ca="1">Start.listina!R88</f>
        <v xml:space="preserve"> </v>
      </c>
      <c r="F314" s="14"/>
      <c r="G314" s="121"/>
      <c r="H314" s="7"/>
      <c r="I314" s="7"/>
    </row>
    <row r="315" spans="1:9">
      <c r="A315" s="14"/>
      <c r="B315" s="14" t="str">
        <f ca="1">Start.listina!U88</f>
        <v/>
      </c>
      <c r="C315" s="14" t="str">
        <f ca="1">Start.listina!V88</f>
        <v xml:space="preserve"> </v>
      </c>
      <c r="D315" s="14" t="str">
        <f ca="1">Start.listina!W88</f>
        <v xml:space="preserve"> </v>
      </c>
      <c r="E315" s="14" t="str">
        <f ca="1">Start.listina!X88</f>
        <v xml:space="preserve"> </v>
      </c>
      <c r="F315" s="14"/>
      <c r="G315" s="121"/>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21"/>
      <c r="H316" s="7"/>
      <c r="I316" s="7"/>
    </row>
    <row r="317" spans="1:9">
      <c r="A317" s="14">
        <f ca="1">Start.listina!AH89</f>
        <v>0</v>
      </c>
      <c r="B317" s="14" t="str">
        <f ca="1">Start.listina!I89</f>
        <v/>
      </c>
      <c r="C317" s="227" t="str">
        <f ca="1">Start.listina!J89</f>
        <v xml:space="preserve"> </v>
      </c>
      <c r="D317" s="14" t="str">
        <f ca="1">Start.listina!K89</f>
        <v xml:space="preserve"> </v>
      </c>
      <c r="E317" s="14" t="str">
        <f ca="1">Start.listina!L89</f>
        <v xml:space="preserve"> </v>
      </c>
      <c r="F317" s="14"/>
      <c r="G317" s="121" t="str">
        <f ca="1">IF(N(A317)&gt;0,VLOOKUP(A317,Body!$A$4:$F$259,5,0),"")</f>
        <v/>
      </c>
      <c r="H317" s="7" t="str">
        <f ca="1">IF(N(A317)&gt;0,VLOOKUP(A317,Body!$A$4:$F$259,6,0),"")</f>
        <v/>
      </c>
      <c r="I317" s="7" t="str">
        <f ca="1">IF(N(A317)&gt;0,VLOOKUP(A317,Body!$A$4:$F$259,2,0),"")</f>
        <v/>
      </c>
    </row>
    <row r="318" spans="1:9">
      <c r="A318" s="14"/>
      <c r="B318" s="14" t="str">
        <f ca="1">Start.listina!O89</f>
        <v/>
      </c>
      <c r="C318" s="14" t="str">
        <f ca="1">Start.listina!P89</f>
        <v xml:space="preserve"> </v>
      </c>
      <c r="D318" s="14" t="str">
        <f ca="1">Start.listina!Q89</f>
        <v xml:space="preserve"> </v>
      </c>
      <c r="E318" s="14" t="str">
        <f ca="1">Start.listina!R89</f>
        <v xml:space="preserve"> </v>
      </c>
      <c r="F318" s="14"/>
      <c r="G318" s="121"/>
      <c r="H318" s="7"/>
      <c r="I318" s="7"/>
    </row>
    <row r="319" spans="1:9">
      <c r="A319" s="14"/>
      <c r="B319" s="14" t="str">
        <f ca="1">Start.listina!U89</f>
        <v/>
      </c>
      <c r="C319" s="14" t="str">
        <f ca="1">Start.listina!V89</f>
        <v xml:space="preserve"> </v>
      </c>
      <c r="D319" s="14" t="str">
        <f ca="1">Start.listina!W89</f>
        <v xml:space="preserve"> </v>
      </c>
      <c r="E319" s="14" t="str">
        <f ca="1">Start.listina!X89</f>
        <v xml:space="preserve"> </v>
      </c>
      <c r="F319" s="14"/>
      <c r="G319" s="121"/>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21"/>
      <c r="H320" s="7"/>
      <c r="I320" s="7"/>
    </row>
    <row r="321" spans="1:9">
      <c r="A321" s="14">
        <f ca="1">Start.listina!AH90</f>
        <v>0</v>
      </c>
      <c r="B321" s="14" t="str">
        <f ca="1">Start.listina!I90</f>
        <v/>
      </c>
      <c r="C321" s="227" t="str">
        <f ca="1">Start.listina!J90</f>
        <v xml:space="preserve"> </v>
      </c>
      <c r="D321" s="14" t="str">
        <f ca="1">Start.listina!K90</f>
        <v xml:space="preserve"> </v>
      </c>
      <c r="E321" s="14" t="str">
        <f ca="1">Start.listina!L90</f>
        <v xml:space="preserve"> </v>
      </c>
      <c r="F321" s="14"/>
      <c r="G321" s="121" t="str">
        <f ca="1">IF(N(A321)&gt;0,VLOOKUP(A321,Body!$A$4:$F$259,5,0),"")</f>
        <v/>
      </c>
      <c r="H321" s="7" t="str">
        <f ca="1">IF(N(A321)&gt;0,VLOOKUP(A321,Body!$A$4:$F$259,6,0),"")</f>
        <v/>
      </c>
      <c r="I321" s="7" t="str">
        <f ca="1">IF(N(A321)&gt;0,VLOOKUP(A321,Body!$A$4:$F$259,2,0),"")</f>
        <v/>
      </c>
    </row>
    <row r="322" spans="1:9">
      <c r="A322" s="14"/>
      <c r="B322" s="14" t="str">
        <f ca="1">Start.listina!O90</f>
        <v/>
      </c>
      <c r="C322" s="14" t="str">
        <f ca="1">Start.listina!P90</f>
        <v xml:space="preserve"> </v>
      </c>
      <c r="D322" s="14" t="str">
        <f ca="1">Start.listina!Q90</f>
        <v xml:space="preserve"> </v>
      </c>
      <c r="E322" s="14" t="str">
        <f ca="1">Start.listina!R90</f>
        <v xml:space="preserve"> </v>
      </c>
      <c r="F322" s="14"/>
      <c r="G322" s="121"/>
      <c r="H322" s="7"/>
      <c r="I322" s="7"/>
    </row>
    <row r="323" spans="1:9">
      <c r="A323" s="14"/>
      <c r="B323" s="14" t="str">
        <f ca="1">Start.listina!U90</f>
        <v/>
      </c>
      <c r="C323" s="14" t="str">
        <f ca="1">Start.listina!V90</f>
        <v xml:space="preserve"> </v>
      </c>
      <c r="D323" s="14" t="str">
        <f ca="1">Start.listina!W90</f>
        <v xml:space="preserve"> </v>
      </c>
      <c r="E323" s="14" t="str">
        <f ca="1">Start.listina!X90</f>
        <v xml:space="preserve"> </v>
      </c>
      <c r="F323" s="14"/>
      <c r="G323" s="121"/>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21"/>
      <c r="H324" s="7"/>
      <c r="I324" s="7"/>
    </row>
    <row r="325" spans="1:9">
      <c r="A325" s="14">
        <f ca="1">Start.listina!AH91</f>
        <v>0</v>
      </c>
      <c r="B325" s="14" t="str">
        <f ca="1">Start.listina!I91</f>
        <v/>
      </c>
      <c r="C325" s="227" t="str">
        <f ca="1">Start.listina!J91</f>
        <v xml:space="preserve"> </v>
      </c>
      <c r="D325" s="14" t="str">
        <f ca="1">Start.listina!K91</f>
        <v xml:space="preserve"> </v>
      </c>
      <c r="E325" s="14" t="str">
        <f ca="1">Start.listina!L91</f>
        <v xml:space="preserve"> </v>
      </c>
      <c r="F325" s="14"/>
      <c r="G325" s="121" t="str">
        <f ca="1">IF(N(A325)&gt;0,VLOOKUP(A325,Body!$A$4:$F$259,5,0),"")</f>
        <v/>
      </c>
      <c r="H325" s="7" t="str">
        <f ca="1">IF(N(A325)&gt;0,VLOOKUP(A325,Body!$A$4:$F$259,6,0),"")</f>
        <v/>
      </c>
      <c r="I325" s="7" t="str">
        <f ca="1">IF(N(A325)&gt;0,VLOOKUP(A325,Body!$A$4:$F$259,2,0),"")</f>
        <v/>
      </c>
    </row>
    <row r="326" spans="1:9">
      <c r="A326" s="14"/>
      <c r="B326" s="14" t="str">
        <f ca="1">Start.listina!O91</f>
        <v/>
      </c>
      <c r="C326" s="14" t="str">
        <f ca="1">Start.listina!P91</f>
        <v xml:space="preserve"> </v>
      </c>
      <c r="D326" s="14" t="str">
        <f ca="1">Start.listina!Q91</f>
        <v xml:space="preserve"> </v>
      </c>
      <c r="E326" s="14" t="str">
        <f ca="1">Start.listina!R91</f>
        <v xml:space="preserve"> </v>
      </c>
      <c r="F326" s="14"/>
      <c r="G326" s="121"/>
      <c r="H326" s="7"/>
      <c r="I326" s="7"/>
    </row>
    <row r="327" spans="1:9">
      <c r="A327" s="14"/>
      <c r="B327" s="14" t="str">
        <f ca="1">Start.listina!U91</f>
        <v/>
      </c>
      <c r="C327" s="14" t="str">
        <f ca="1">Start.listina!V91</f>
        <v xml:space="preserve"> </v>
      </c>
      <c r="D327" s="14" t="str">
        <f ca="1">Start.listina!W91</f>
        <v xml:space="preserve"> </v>
      </c>
      <c r="E327" s="14" t="str">
        <f ca="1">Start.listina!X91</f>
        <v xml:space="preserve"> </v>
      </c>
      <c r="F327" s="14"/>
      <c r="G327" s="121"/>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21"/>
      <c r="H328" s="7"/>
      <c r="I328" s="7"/>
    </row>
    <row r="329" spans="1:9">
      <c r="A329" s="14">
        <f ca="1">Start.listina!AH92</f>
        <v>0</v>
      </c>
      <c r="B329" s="14" t="str">
        <f ca="1">Start.listina!I92</f>
        <v/>
      </c>
      <c r="C329" s="227" t="str">
        <f ca="1">Start.listina!J92</f>
        <v xml:space="preserve"> </v>
      </c>
      <c r="D329" s="14" t="str">
        <f ca="1">Start.listina!K92</f>
        <v xml:space="preserve"> </v>
      </c>
      <c r="E329" s="14" t="str">
        <f ca="1">Start.listina!L92</f>
        <v xml:space="preserve"> </v>
      </c>
      <c r="F329" s="14"/>
      <c r="G329" s="121" t="str">
        <f ca="1">IF(N(A329)&gt;0,VLOOKUP(A329,Body!$A$4:$F$259,5,0),"")</f>
        <v/>
      </c>
      <c r="H329" s="7" t="str">
        <f ca="1">IF(N(A329)&gt;0,VLOOKUP(A329,Body!$A$4:$F$259,6,0),"")</f>
        <v/>
      </c>
      <c r="I329" s="7" t="str">
        <f ca="1">IF(N(A329)&gt;0,VLOOKUP(A329,Body!$A$4:$F$259,2,0),"")</f>
        <v/>
      </c>
    </row>
    <row r="330" spans="1:9">
      <c r="A330" s="14"/>
      <c r="B330" s="14" t="str">
        <f ca="1">Start.listina!O92</f>
        <v/>
      </c>
      <c r="C330" s="14" t="str">
        <f ca="1">Start.listina!P92</f>
        <v xml:space="preserve"> </v>
      </c>
      <c r="D330" s="14" t="str">
        <f ca="1">Start.listina!Q92</f>
        <v xml:space="preserve"> </v>
      </c>
      <c r="E330" s="14" t="str">
        <f ca="1">Start.listina!R92</f>
        <v xml:space="preserve"> </v>
      </c>
      <c r="F330" s="14"/>
      <c r="G330" s="121"/>
      <c r="H330" s="7"/>
      <c r="I330" s="7"/>
    </row>
    <row r="331" spans="1:9">
      <c r="A331" s="14"/>
      <c r="B331" s="14" t="str">
        <f ca="1">Start.listina!U92</f>
        <v/>
      </c>
      <c r="C331" s="14" t="str">
        <f ca="1">Start.listina!V92</f>
        <v xml:space="preserve"> </v>
      </c>
      <c r="D331" s="14" t="str">
        <f ca="1">Start.listina!W92</f>
        <v xml:space="preserve"> </v>
      </c>
      <c r="E331" s="14" t="str">
        <f ca="1">Start.listina!X92</f>
        <v xml:space="preserve"> </v>
      </c>
      <c r="F331" s="14"/>
      <c r="G331" s="121"/>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21"/>
      <c r="H332" s="7"/>
      <c r="I332" s="7"/>
    </row>
    <row r="333" spans="1:9">
      <c r="A333" s="14">
        <f ca="1">Start.listina!AH93</f>
        <v>0</v>
      </c>
      <c r="B333" s="14" t="str">
        <f ca="1">Start.listina!I93</f>
        <v/>
      </c>
      <c r="C333" s="227" t="str">
        <f ca="1">Start.listina!J93</f>
        <v xml:space="preserve"> </v>
      </c>
      <c r="D333" s="14" t="str">
        <f ca="1">Start.listina!K93</f>
        <v xml:space="preserve"> </v>
      </c>
      <c r="E333" s="14" t="str">
        <f ca="1">Start.listina!L93</f>
        <v xml:space="preserve"> </v>
      </c>
      <c r="F333" s="14"/>
      <c r="G333" s="121" t="str">
        <f ca="1">IF(N(A333)&gt;0,VLOOKUP(A333,Body!$A$4:$F$259,5,0),"")</f>
        <v/>
      </c>
      <c r="H333" s="7" t="str">
        <f ca="1">IF(N(A333)&gt;0,VLOOKUP(A333,Body!$A$4:$F$259,6,0),"")</f>
        <v/>
      </c>
      <c r="I333" s="7" t="str">
        <f ca="1">IF(N(A333)&gt;0,VLOOKUP(A333,Body!$A$4:$F$259,2,0),"")</f>
        <v/>
      </c>
    </row>
    <row r="334" spans="1:9">
      <c r="A334" s="14"/>
      <c r="B334" s="14" t="str">
        <f ca="1">Start.listina!O93</f>
        <v/>
      </c>
      <c r="C334" s="14" t="str">
        <f ca="1">Start.listina!P93</f>
        <v xml:space="preserve"> </v>
      </c>
      <c r="D334" s="14" t="str">
        <f ca="1">Start.listina!Q93</f>
        <v xml:space="preserve"> </v>
      </c>
      <c r="E334" s="14" t="str">
        <f ca="1">Start.listina!R93</f>
        <v xml:space="preserve"> </v>
      </c>
      <c r="F334" s="14"/>
      <c r="G334" s="121"/>
      <c r="H334" s="7"/>
      <c r="I334" s="7"/>
    </row>
    <row r="335" spans="1:9">
      <c r="A335" s="14"/>
      <c r="B335" s="14" t="str">
        <f ca="1">Start.listina!U93</f>
        <v/>
      </c>
      <c r="C335" s="14" t="str">
        <f ca="1">Start.listina!V93</f>
        <v xml:space="preserve"> </v>
      </c>
      <c r="D335" s="14" t="str">
        <f ca="1">Start.listina!W93</f>
        <v xml:space="preserve"> </v>
      </c>
      <c r="E335" s="14" t="str">
        <f ca="1">Start.listina!X93</f>
        <v xml:space="preserve"> </v>
      </c>
      <c r="F335" s="14"/>
      <c r="G335" s="121"/>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21"/>
      <c r="H336" s="7"/>
      <c r="I336" s="7"/>
    </row>
    <row r="337" spans="1:9">
      <c r="A337" s="14">
        <f ca="1">Start.listina!AH94</f>
        <v>0</v>
      </c>
      <c r="B337" s="14" t="str">
        <f ca="1">Start.listina!I94</f>
        <v/>
      </c>
      <c r="C337" s="227" t="str">
        <f ca="1">Start.listina!J94</f>
        <v xml:space="preserve"> </v>
      </c>
      <c r="D337" s="14" t="str">
        <f ca="1">Start.listina!K94</f>
        <v xml:space="preserve"> </v>
      </c>
      <c r="E337" s="14" t="str">
        <f ca="1">Start.listina!L94</f>
        <v xml:space="preserve"> </v>
      </c>
      <c r="F337" s="14"/>
      <c r="G337" s="121" t="str">
        <f ca="1">IF(N(A337)&gt;0,VLOOKUP(A337,Body!$A$4:$F$259,5,0),"")</f>
        <v/>
      </c>
      <c r="H337" s="7" t="str">
        <f ca="1">IF(N(A337)&gt;0,VLOOKUP(A337,Body!$A$4:$F$259,6,0),"")</f>
        <v/>
      </c>
      <c r="I337" s="7" t="str">
        <f ca="1">IF(N(A337)&gt;0,VLOOKUP(A337,Body!$A$4:$F$259,2,0),"")</f>
        <v/>
      </c>
    </row>
    <row r="338" spans="1:9">
      <c r="A338" s="14"/>
      <c r="B338" s="14" t="str">
        <f ca="1">Start.listina!O94</f>
        <v/>
      </c>
      <c r="C338" s="14" t="str">
        <f ca="1">Start.listina!P94</f>
        <v xml:space="preserve"> </v>
      </c>
      <c r="D338" s="14" t="str">
        <f ca="1">Start.listina!Q94</f>
        <v xml:space="preserve"> </v>
      </c>
      <c r="E338" s="14" t="str">
        <f ca="1">Start.listina!R94</f>
        <v xml:space="preserve"> </v>
      </c>
      <c r="F338" s="14"/>
      <c r="G338" s="121"/>
      <c r="H338" s="7"/>
      <c r="I338" s="7"/>
    </row>
    <row r="339" spans="1:9">
      <c r="A339" s="14"/>
      <c r="B339" s="14" t="str">
        <f ca="1">Start.listina!U94</f>
        <v/>
      </c>
      <c r="C339" s="14" t="str">
        <f ca="1">Start.listina!V94</f>
        <v xml:space="preserve"> </v>
      </c>
      <c r="D339" s="14" t="str">
        <f ca="1">Start.listina!W94</f>
        <v xml:space="preserve"> </v>
      </c>
      <c r="E339" s="14" t="str">
        <f ca="1">Start.listina!X94</f>
        <v xml:space="preserve"> </v>
      </c>
      <c r="F339" s="14"/>
      <c r="G339" s="121"/>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21"/>
      <c r="H340" s="7"/>
      <c r="I340" s="7"/>
    </row>
    <row r="341" spans="1:9">
      <c r="A341" s="14">
        <f ca="1">Start.listina!AH95</f>
        <v>0</v>
      </c>
      <c r="B341" s="14" t="str">
        <f ca="1">Start.listina!I95</f>
        <v/>
      </c>
      <c r="C341" s="227" t="str">
        <f ca="1">Start.listina!J95</f>
        <v xml:space="preserve"> </v>
      </c>
      <c r="D341" s="14" t="str">
        <f ca="1">Start.listina!K95</f>
        <v xml:space="preserve"> </v>
      </c>
      <c r="E341" s="14" t="str">
        <f ca="1">Start.listina!L95</f>
        <v xml:space="preserve"> </v>
      </c>
      <c r="F341" s="14"/>
      <c r="G341" s="121" t="str">
        <f ca="1">IF(N(A341)&gt;0,VLOOKUP(A341,Body!$A$4:$F$259,5,0),"")</f>
        <v/>
      </c>
      <c r="H341" s="7" t="str">
        <f ca="1">IF(N(A341)&gt;0,VLOOKUP(A341,Body!$A$4:$F$259,6,0),"")</f>
        <v/>
      </c>
      <c r="I341" s="7" t="str">
        <f ca="1">IF(N(A341)&gt;0,VLOOKUP(A341,Body!$A$4:$F$259,2,0),"")</f>
        <v/>
      </c>
    </row>
    <row r="342" spans="1:9">
      <c r="A342" s="14"/>
      <c r="B342" s="14" t="str">
        <f ca="1">Start.listina!O95</f>
        <v/>
      </c>
      <c r="C342" s="14" t="str">
        <f ca="1">Start.listina!P95</f>
        <v xml:space="preserve"> </v>
      </c>
      <c r="D342" s="14" t="str">
        <f ca="1">Start.listina!Q95</f>
        <v xml:space="preserve"> </v>
      </c>
      <c r="E342" s="14" t="str">
        <f ca="1">Start.listina!R95</f>
        <v xml:space="preserve"> </v>
      </c>
      <c r="F342" s="14"/>
      <c r="G342" s="121"/>
      <c r="H342" s="7"/>
      <c r="I342" s="7"/>
    </row>
    <row r="343" spans="1:9">
      <c r="A343" s="14"/>
      <c r="B343" s="14" t="str">
        <f ca="1">Start.listina!U95</f>
        <v/>
      </c>
      <c r="C343" s="14" t="str">
        <f ca="1">Start.listina!V95</f>
        <v xml:space="preserve"> </v>
      </c>
      <c r="D343" s="14" t="str">
        <f ca="1">Start.listina!W95</f>
        <v xml:space="preserve"> </v>
      </c>
      <c r="E343" s="14" t="str">
        <f ca="1">Start.listina!X95</f>
        <v xml:space="preserve"> </v>
      </c>
      <c r="F343" s="14"/>
      <c r="G343" s="121"/>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21"/>
      <c r="H344" s="7"/>
      <c r="I344" s="7"/>
    </row>
    <row r="345" spans="1:9">
      <c r="A345" s="14">
        <f ca="1">Start.listina!AH96</f>
        <v>0</v>
      </c>
      <c r="B345" s="14" t="str">
        <f ca="1">Start.listina!I96</f>
        <v/>
      </c>
      <c r="C345" s="227" t="str">
        <f ca="1">Start.listina!J96</f>
        <v xml:space="preserve"> </v>
      </c>
      <c r="D345" s="14" t="str">
        <f ca="1">Start.listina!K96</f>
        <v xml:space="preserve"> </v>
      </c>
      <c r="E345" s="14" t="str">
        <f ca="1">Start.listina!L96</f>
        <v xml:space="preserve"> </v>
      </c>
      <c r="F345" s="14"/>
      <c r="G345" s="121" t="str">
        <f ca="1">IF(N(A345)&gt;0,VLOOKUP(A345,Body!$A$4:$F$259,5,0),"")</f>
        <v/>
      </c>
      <c r="H345" s="7" t="str">
        <f ca="1">IF(N(A345)&gt;0,VLOOKUP(A345,Body!$A$4:$F$259,6,0),"")</f>
        <v/>
      </c>
      <c r="I345" s="7" t="str">
        <f ca="1">IF(N(A345)&gt;0,VLOOKUP(A345,Body!$A$4:$F$259,2,0),"")</f>
        <v/>
      </c>
    </row>
    <row r="346" spans="1:9">
      <c r="A346" s="14"/>
      <c r="B346" s="14" t="str">
        <f ca="1">Start.listina!O96</f>
        <v/>
      </c>
      <c r="C346" s="14" t="str">
        <f ca="1">Start.listina!P96</f>
        <v xml:space="preserve"> </v>
      </c>
      <c r="D346" s="14" t="str">
        <f ca="1">Start.listina!Q96</f>
        <v xml:space="preserve"> </v>
      </c>
      <c r="E346" s="14" t="str">
        <f ca="1">Start.listina!R96</f>
        <v xml:space="preserve"> </v>
      </c>
      <c r="F346" s="14"/>
      <c r="G346" s="121"/>
      <c r="H346" s="7"/>
      <c r="I346" s="7"/>
    </row>
    <row r="347" spans="1:9">
      <c r="A347" s="14"/>
      <c r="B347" s="14" t="str">
        <f ca="1">Start.listina!U96</f>
        <v/>
      </c>
      <c r="C347" s="14" t="str">
        <f ca="1">Start.listina!V96</f>
        <v xml:space="preserve"> </v>
      </c>
      <c r="D347" s="14" t="str">
        <f ca="1">Start.listina!W96</f>
        <v xml:space="preserve"> </v>
      </c>
      <c r="E347" s="14" t="str">
        <f ca="1">Start.listina!X96</f>
        <v xml:space="preserve"> </v>
      </c>
      <c r="F347" s="14"/>
      <c r="G347" s="121"/>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21"/>
      <c r="H348" s="7"/>
      <c r="I348" s="7"/>
    </row>
    <row r="349" spans="1:9">
      <c r="A349" s="14">
        <f ca="1">Start.listina!AH97</f>
        <v>0</v>
      </c>
      <c r="B349" s="14" t="str">
        <f ca="1">Start.listina!I97</f>
        <v/>
      </c>
      <c r="C349" s="227" t="str">
        <f ca="1">Start.listina!J97</f>
        <v xml:space="preserve"> </v>
      </c>
      <c r="D349" s="14" t="str">
        <f ca="1">Start.listina!K97</f>
        <v xml:space="preserve"> </v>
      </c>
      <c r="E349" s="14" t="str">
        <f ca="1">Start.listina!L97</f>
        <v xml:space="preserve"> </v>
      </c>
      <c r="F349" s="14"/>
      <c r="G349" s="121" t="str">
        <f ca="1">IF(N(A349)&gt;0,VLOOKUP(A349,Body!$A$4:$F$259,5,0),"")</f>
        <v/>
      </c>
      <c r="H349" s="7" t="str">
        <f ca="1">IF(N(A349)&gt;0,VLOOKUP(A349,Body!$A$4:$F$259,6,0),"")</f>
        <v/>
      </c>
      <c r="I349" s="7" t="str">
        <f ca="1">IF(N(A349)&gt;0,VLOOKUP(A349,Body!$A$4:$F$259,2,0),"")</f>
        <v/>
      </c>
    </row>
    <row r="350" spans="1:9">
      <c r="A350" s="14"/>
      <c r="B350" s="14" t="str">
        <f ca="1">Start.listina!O97</f>
        <v/>
      </c>
      <c r="C350" s="14" t="str">
        <f ca="1">Start.listina!P97</f>
        <v xml:space="preserve"> </v>
      </c>
      <c r="D350" s="14" t="str">
        <f ca="1">Start.listina!Q97</f>
        <v xml:space="preserve"> </v>
      </c>
      <c r="E350" s="14" t="str">
        <f ca="1">Start.listina!R97</f>
        <v xml:space="preserve"> </v>
      </c>
      <c r="F350" s="14"/>
      <c r="G350" s="121"/>
      <c r="H350" s="7"/>
      <c r="I350" s="7"/>
    </row>
    <row r="351" spans="1:9">
      <c r="A351" s="14"/>
      <c r="B351" s="14" t="str">
        <f ca="1">Start.listina!U97</f>
        <v/>
      </c>
      <c r="C351" s="14" t="str">
        <f ca="1">Start.listina!V97</f>
        <v xml:space="preserve"> </v>
      </c>
      <c r="D351" s="14" t="str">
        <f ca="1">Start.listina!W97</f>
        <v xml:space="preserve"> </v>
      </c>
      <c r="E351" s="14" t="str">
        <f ca="1">Start.listina!X97</f>
        <v xml:space="preserve"> </v>
      </c>
      <c r="F351" s="14"/>
      <c r="G351" s="121"/>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21"/>
      <c r="H352" s="7"/>
      <c r="I352" s="7"/>
    </row>
    <row r="353" spans="1:9">
      <c r="A353" s="14">
        <f ca="1">Start.listina!AH98</f>
        <v>0</v>
      </c>
      <c r="B353" s="14" t="str">
        <f ca="1">Start.listina!I98</f>
        <v/>
      </c>
      <c r="C353" s="227" t="str">
        <f ca="1">Start.listina!J98</f>
        <v xml:space="preserve"> </v>
      </c>
      <c r="D353" s="14" t="str">
        <f ca="1">Start.listina!K98</f>
        <v xml:space="preserve"> </v>
      </c>
      <c r="E353" s="14" t="str">
        <f ca="1">Start.listina!L98</f>
        <v xml:space="preserve"> </v>
      </c>
      <c r="F353" s="14"/>
      <c r="G353" s="121" t="str">
        <f ca="1">IF(N(A353)&gt;0,VLOOKUP(A353,Body!$A$4:$F$259,5,0),"")</f>
        <v/>
      </c>
      <c r="H353" s="7" t="str">
        <f ca="1">IF(N(A353)&gt;0,VLOOKUP(A353,Body!$A$4:$F$259,6,0),"")</f>
        <v/>
      </c>
      <c r="I353" s="7" t="str">
        <f ca="1">IF(N(A353)&gt;0,VLOOKUP(A353,Body!$A$4:$F$259,2,0),"")</f>
        <v/>
      </c>
    </row>
    <row r="354" spans="1:9">
      <c r="A354" s="14"/>
      <c r="B354" s="14" t="str">
        <f ca="1">Start.listina!O98</f>
        <v/>
      </c>
      <c r="C354" s="14" t="str">
        <f ca="1">Start.listina!P98</f>
        <v xml:space="preserve"> </v>
      </c>
      <c r="D354" s="14" t="str">
        <f ca="1">Start.listina!Q98</f>
        <v xml:space="preserve"> </v>
      </c>
      <c r="E354" s="14" t="str">
        <f ca="1">Start.listina!R98</f>
        <v xml:space="preserve"> </v>
      </c>
      <c r="F354" s="14"/>
      <c r="G354" s="121"/>
      <c r="H354" s="7"/>
      <c r="I354" s="7"/>
    </row>
    <row r="355" spans="1:9">
      <c r="A355" s="14"/>
      <c r="B355" s="14" t="str">
        <f ca="1">Start.listina!U98</f>
        <v/>
      </c>
      <c r="C355" s="14" t="str">
        <f ca="1">Start.listina!V98</f>
        <v xml:space="preserve"> </v>
      </c>
      <c r="D355" s="14" t="str">
        <f ca="1">Start.listina!W98</f>
        <v xml:space="preserve"> </v>
      </c>
      <c r="E355" s="14" t="str">
        <f ca="1">Start.listina!X98</f>
        <v xml:space="preserve"> </v>
      </c>
      <c r="F355" s="14"/>
      <c r="G355" s="121"/>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21"/>
      <c r="H356" s="7"/>
      <c r="I356" s="7"/>
    </row>
    <row r="357" spans="1:9">
      <c r="A357" s="14">
        <f ca="1">Start.listina!AH99</f>
        <v>0</v>
      </c>
      <c r="B357" s="14" t="str">
        <f ca="1">Start.listina!I99</f>
        <v/>
      </c>
      <c r="C357" s="227" t="str">
        <f ca="1">Start.listina!J99</f>
        <v xml:space="preserve"> </v>
      </c>
      <c r="D357" s="14" t="str">
        <f ca="1">Start.listina!K99</f>
        <v xml:space="preserve"> </v>
      </c>
      <c r="E357" s="14" t="str">
        <f ca="1">Start.listina!L99</f>
        <v xml:space="preserve"> </v>
      </c>
      <c r="F357" s="14"/>
      <c r="G357" s="121" t="str">
        <f ca="1">IF(N(A357)&gt;0,VLOOKUP(A357,Body!$A$4:$F$259,5,0),"")</f>
        <v/>
      </c>
      <c r="H357" s="7" t="str">
        <f ca="1">IF(N(A357)&gt;0,VLOOKUP(A357,Body!$A$4:$F$259,6,0),"")</f>
        <v/>
      </c>
      <c r="I357" s="7" t="str">
        <f ca="1">IF(N(A357)&gt;0,VLOOKUP(A357,Body!$A$4:$F$259,2,0),"")</f>
        <v/>
      </c>
    </row>
    <row r="358" spans="1:9">
      <c r="A358" s="14"/>
      <c r="B358" s="14" t="str">
        <f ca="1">Start.listina!O99</f>
        <v/>
      </c>
      <c r="C358" s="14" t="str">
        <f ca="1">Start.listina!P99</f>
        <v xml:space="preserve"> </v>
      </c>
      <c r="D358" s="14" t="str">
        <f ca="1">Start.listina!Q99</f>
        <v xml:space="preserve"> </v>
      </c>
      <c r="E358" s="14" t="str">
        <f ca="1">Start.listina!R99</f>
        <v xml:space="preserve"> </v>
      </c>
      <c r="F358" s="14"/>
      <c r="G358" s="121"/>
      <c r="H358" s="7"/>
      <c r="I358" s="7"/>
    </row>
    <row r="359" spans="1:9">
      <c r="A359" s="14"/>
      <c r="B359" s="14" t="str">
        <f ca="1">Start.listina!U99</f>
        <v/>
      </c>
      <c r="C359" s="14" t="str">
        <f ca="1">Start.listina!V99</f>
        <v xml:space="preserve"> </v>
      </c>
      <c r="D359" s="14" t="str">
        <f ca="1">Start.listina!W99</f>
        <v xml:space="preserve"> </v>
      </c>
      <c r="E359" s="14" t="str">
        <f ca="1">Start.listina!X99</f>
        <v xml:space="preserve"> </v>
      </c>
      <c r="F359" s="14"/>
      <c r="G359" s="121"/>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21"/>
      <c r="H360" s="7"/>
      <c r="I360" s="7"/>
    </row>
    <row r="361" spans="1:9">
      <c r="A361" s="14">
        <f ca="1">Start.listina!AH100</f>
        <v>0</v>
      </c>
      <c r="B361" s="14" t="str">
        <f ca="1">Start.listina!I100</f>
        <v/>
      </c>
      <c r="C361" s="227" t="str">
        <f ca="1">Start.listina!J100</f>
        <v xml:space="preserve"> </v>
      </c>
      <c r="D361" s="14" t="str">
        <f ca="1">Start.listina!K100</f>
        <v xml:space="preserve"> </v>
      </c>
      <c r="E361" s="14" t="str">
        <f ca="1">Start.listina!L100</f>
        <v xml:space="preserve"> </v>
      </c>
      <c r="F361" s="14"/>
      <c r="G361" s="121" t="str">
        <f ca="1">IF(N(A361)&gt;0,VLOOKUP(A361,Body!$A$4:$F$259,5,0),"")</f>
        <v/>
      </c>
      <c r="H361" s="7" t="str">
        <f ca="1">IF(N(A361)&gt;0,VLOOKUP(A361,Body!$A$4:$F$259,6,0),"")</f>
        <v/>
      </c>
      <c r="I361" s="7" t="str">
        <f ca="1">IF(N(A361)&gt;0,VLOOKUP(A361,Body!$A$4:$F$259,2,0),"")</f>
        <v/>
      </c>
    </row>
    <row r="362" spans="1:9">
      <c r="A362" s="14"/>
      <c r="B362" s="14" t="str">
        <f ca="1">Start.listina!O100</f>
        <v/>
      </c>
      <c r="C362" s="14" t="str">
        <f ca="1">Start.listina!P100</f>
        <v xml:space="preserve"> </v>
      </c>
      <c r="D362" s="14" t="str">
        <f ca="1">Start.listina!Q100</f>
        <v xml:space="preserve"> </v>
      </c>
      <c r="E362" s="14" t="str">
        <f ca="1">Start.listina!R100</f>
        <v xml:space="preserve"> </v>
      </c>
      <c r="F362" s="14"/>
      <c r="G362" s="121"/>
      <c r="H362" s="7"/>
      <c r="I362" s="7"/>
    </row>
    <row r="363" spans="1:9">
      <c r="A363" s="14"/>
      <c r="B363" s="14" t="str">
        <f ca="1">Start.listina!U100</f>
        <v/>
      </c>
      <c r="C363" s="14" t="str">
        <f ca="1">Start.listina!V100</f>
        <v xml:space="preserve"> </v>
      </c>
      <c r="D363" s="14" t="str">
        <f ca="1">Start.listina!W100</f>
        <v xml:space="preserve"> </v>
      </c>
      <c r="E363" s="14" t="str">
        <f ca="1">Start.listina!X100</f>
        <v xml:space="preserve"> </v>
      </c>
      <c r="F363" s="14"/>
      <c r="G363" s="121"/>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21"/>
      <c r="H364" s="7"/>
      <c r="I364" s="7"/>
    </row>
    <row r="365" spans="1:9">
      <c r="A365" s="14">
        <f ca="1">Start.listina!AH101</f>
        <v>0</v>
      </c>
      <c r="B365" s="14" t="str">
        <f ca="1">Start.listina!I101</f>
        <v/>
      </c>
      <c r="C365" s="227" t="str">
        <f ca="1">Start.listina!J101</f>
        <v xml:space="preserve"> </v>
      </c>
      <c r="D365" s="14" t="str">
        <f ca="1">Start.listina!K101</f>
        <v xml:space="preserve"> </v>
      </c>
      <c r="E365" s="14" t="str">
        <f ca="1">Start.listina!L101</f>
        <v xml:space="preserve"> </v>
      </c>
      <c r="F365" s="14"/>
      <c r="G365" s="121" t="str">
        <f ca="1">IF(N(A365)&gt;0,VLOOKUP(A365,Body!$A$4:$F$259,5,0),"")</f>
        <v/>
      </c>
      <c r="H365" s="7" t="str">
        <f ca="1">IF(N(A365)&gt;0,VLOOKUP(A365,Body!$A$4:$F$259,6,0),"")</f>
        <v/>
      </c>
      <c r="I365" s="7" t="str">
        <f ca="1">IF(N(A365)&gt;0,VLOOKUP(A365,Body!$A$4:$F$259,2,0),"")</f>
        <v/>
      </c>
    </row>
    <row r="366" spans="1:9">
      <c r="A366" s="14"/>
      <c r="B366" s="14" t="str">
        <f ca="1">Start.listina!O101</f>
        <v/>
      </c>
      <c r="C366" s="14" t="str">
        <f ca="1">Start.listina!P101</f>
        <v xml:space="preserve"> </v>
      </c>
      <c r="D366" s="14" t="str">
        <f ca="1">Start.listina!Q101</f>
        <v xml:space="preserve"> </v>
      </c>
      <c r="E366" s="14" t="str">
        <f ca="1">Start.listina!R101</f>
        <v xml:space="preserve"> </v>
      </c>
      <c r="F366" s="14"/>
      <c r="G366" s="121"/>
      <c r="H366" s="7"/>
      <c r="I366" s="7"/>
    </row>
    <row r="367" spans="1:9">
      <c r="A367" s="14"/>
      <c r="B367" s="14" t="str">
        <f ca="1">Start.listina!U101</f>
        <v/>
      </c>
      <c r="C367" s="14" t="str">
        <f ca="1">Start.listina!V101</f>
        <v xml:space="preserve"> </v>
      </c>
      <c r="D367" s="14" t="str">
        <f ca="1">Start.listina!W101</f>
        <v xml:space="preserve"> </v>
      </c>
      <c r="E367" s="14" t="str">
        <f ca="1">Start.listina!X101</f>
        <v xml:space="preserve"> </v>
      </c>
      <c r="F367" s="14"/>
      <c r="G367" s="121"/>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21"/>
      <c r="H368" s="7"/>
      <c r="I368" s="7"/>
    </row>
    <row r="369" spans="1:9">
      <c r="A369" s="14">
        <f ca="1">Start.listina!AH102</f>
        <v>0</v>
      </c>
      <c r="B369" s="14" t="str">
        <f ca="1">Start.listina!I102</f>
        <v/>
      </c>
      <c r="C369" s="227" t="str">
        <f ca="1">Start.listina!J102</f>
        <v xml:space="preserve"> </v>
      </c>
      <c r="D369" s="14" t="str">
        <f ca="1">Start.listina!K102</f>
        <v xml:space="preserve"> </v>
      </c>
      <c r="E369" s="14" t="str">
        <f ca="1">Start.listina!L102</f>
        <v xml:space="preserve"> </v>
      </c>
      <c r="F369" s="14"/>
      <c r="G369" s="121" t="str">
        <f ca="1">IF(N(A369)&gt;0,VLOOKUP(A369,Body!$A$4:$F$259,5,0),"")</f>
        <v/>
      </c>
      <c r="H369" s="7" t="str">
        <f ca="1">IF(N(A369)&gt;0,VLOOKUP(A369,Body!$A$4:$F$259,6,0),"")</f>
        <v/>
      </c>
      <c r="I369" s="7" t="str">
        <f ca="1">IF(N(A369)&gt;0,VLOOKUP(A369,Body!$A$4:$F$259,2,0),"")</f>
        <v/>
      </c>
    </row>
    <row r="370" spans="1:9">
      <c r="A370" s="14"/>
      <c r="B370" s="14" t="str">
        <f ca="1">Start.listina!O102</f>
        <v/>
      </c>
      <c r="C370" s="14" t="str">
        <f ca="1">Start.listina!P102</f>
        <v xml:space="preserve"> </v>
      </c>
      <c r="D370" s="14" t="str">
        <f ca="1">Start.listina!Q102</f>
        <v xml:space="preserve"> </v>
      </c>
      <c r="E370" s="14" t="str">
        <f ca="1">Start.listina!R102</f>
        <v xml:space="preserve"> </v>
      </c>
      <c r="F370" s="14"/>
      <c r="G370" s="121"/>
      <c r="H370" s="7"/>
      <c r="I370" s="7"/>
    </row>
    <row r="371" spans="1:9">
      <c r="A371" s="14"/>
      <c r="B371" s="14" t="str">
        <f ca="1">Start.listina!U102</f>
        <v/>
      </c>
      <c r="C371" s="14" t="str">
        <f ca="1">Start.listina!V102</f>
        <v xml:space="preserve"> </v>
      </c>
      <c r="D371" s="14" t="str">
        <f ca="1">Start.listina!W102</f>
        <v xml:space="preserve"> </v>
      </c>
      <c r="E371" s="14" t="str">
        <f ca="1">Start.listina!X102</f>
        <v xml:space="preserve"> </v>
      </c>
      <c r="F371" s="14"/>
      <c r="G371" s="121"/>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21"/>
      <c r="H372" s="7"/>
      <c r="I372" s="7"/>
    </row>
    <row r="373" spans="1:9">
      <c r="A373" s="14">
        <f ca="1">Start.listina!AH103</f>
        <v>0</v>
      </c>
      <c r="B373" s="14" t="str">
        <f ca="1">Start.listina!I103</f>
        <v/>
      </c>
      <c r="C373" s="227" t="str">
        <f ca="1">Start.listina!J103</f>
        <v xml:space="preserve"> </v>
      </c>
      <c r="D373" s="14" t="str">
        <f ca="1">Start.listina!K103</f>
        <v xml:space="preserve"> </v>
      </c>
      <c r="E373" s="14" t="str">
        <f ca="1">Start.listina!L103</f>
        <v xml:space="preserve"> </v>
      </c>
      <c r="F373" s="14"/>
      <c r="G373" s="121" t="str">
        <f ca="1">IF(N(A373)&gt;0,VLOOKUP(A373,Body!$A$4:$F$259,5,0),"")</f>
        <v/>
      </c>
      <c r="H373" s="7" t="str">
        <f ca="1">IF(N(A373)&gt;0,VLOOKUP(A373,Body!$A$4:$F$259,6,0),"")</f>
        <v/>
      </c>
      <c r="I373" s="7" t="str">
        <f ca="1">IF(N(A373)&gt;0,VLOOKUP(A373,Body!$A$4:$F$259,2,0),"")</f>
        <v/>
      </c>
    </row>
    <row r="374" spans="1:9">
      <c r="A374" s="14"/>
      <c r="B374" s="14" t="str">
        <f ca="1">Start.listina!O103</f>
        <v/>
      </c>
      <c r="C374" s="14" t="str">
        <f ca="1">Start.listina!P103</f>
        <v xml:space="preserve"> </v>
      </c>
      <c r="D374" s="14" t="str">
        <f ca="1">Start.listina!Q103</f>
        <v xml:space="preserve"> </v>
      </c>
      <c r="E374" s="14" t="str">
        <f ca="1">Start.listina!R103</f>
        <v xml:space="preserve"> </v>
      </c>
      <c r="F374" s="14"/>
      <c r="G374" s="121"/>
      <c r="H374" s="7"/>
      <c r="I374" s="7"/>
    </row>
    <row r="375" spans="1:9">
      <c r="A375" s="14"/>
      <c r="B375" s="14" t="str">
        <f ca="1">Start.listina!U103</f>
        <v/>
      </c>
      <c r="C375" s="14" t="str">
        <f ca="1">Start.listina!V103</f>
        <v xml:space="preserve"> </v>
      </c>
      <c r="D375" s="14" t="str">
        <f ca="1">Start.listina!W103</f>
        <v xml:space="preserve"> </v>
      </c>
      <c r="E375" s="14" t="str">
        <f ca="1">Start.listina!X103</f>
        <v xml:space="preserve"> </v>
      </c>
      <c r="F375" s="14"/>
      <c r="G375" s="121"/>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21"/>
      <c r="H376" s="7"/>
      <c r="I376" s="7"/>
    </row>
    <row r="377" spans="1:9">
      <c r="A377" s="14">
        <f ca="1">Start.listina!AH104</f>
        <v>0</v>
      </c>
      <c r="B377" s="14" t="str">
        <f ca="1">Start.listina!I104</f>
        <v/>
      </c>
      <c r="C377" s="227" t="str">
        <f ca="1">Start.listina!J104</f>
        <v xml:space="preserve"> </v>
      </c>
      <c r="D377" s="14" t="str">
        <f ca="1">Start.listina!K104</f>
        <v xml:space="preserve"> </v>
      </c>
      <c r="E377" s="14" t="str">
        <f ca="1">Start.listina!L104</f>
        <v xml:space="preserve"> </v>
      </c>
      <c r="F377" s="14"/>
      <c r="G377" s="121" t="str">
        <f ca="1">IF(N(A377)&gt;0,VLOOKUP(A377,Body!$A$4:$F$259,5,0),"")</f>
        <v/>
      </c>
      <c r="H377" s="7" t="str">
        <f ca="1">IF(N(A377)&gt;0,VLOOKUP(A377,Body!$A$4:$F$259,6,0),"")</f>
        <v/>
      </c>
      <c r="I377" s="7" t="str">
        <f ca="1">IF(N(A377)&gt;0,VLOOKUP(A377,Body!$A$4:$F$259,2,0),"")</f>
        <v/>
      </c>
    </row>
    <row r="378" spans="1:9">
      <c r="A378" s="14"/>
      <c r="B378" s="14" t="str">
        <f ca="1">Start.listina!O104</f>
        <v/>
      </c>
      <c r="C378" s="14" t="str">
        <f ca="1">Start.listina!P104</f>
        <v xml:space="preserve"> </v>
      </c>
      <c r="D378" s="14" t="str">
        <f ca="1">Start.listina!Q104</f>
        <v xml:space="preserve"> </v>
      </c>
      <c r="E378" s="14" t="str">
        <f ca="1">Start.listina!R104</f>
        <v xml:space="preserve"> </v>
      </c>
      <c r="F378" s="14"/>
      <c r="G378" s="121"/>
      <c r="H378" s="7"/>
      <c r="I378" s="7"/>
    </row>
    <row r="379" spans="1:9">
      <c r="A379" s="14"/>
      <c r="B379" s="14" t="str">
        <f ca="1">Start.listina!U104</f>
        <v/>
      </c>
      <c r="C379" s="14" t="str">
        <f ca="1">Start.listina!V104</f>
        <v xml:space="preserve"> </v>
      </c>
      <c r="D379" s="14" t="str">
        <f ca="1">Start.listina!W104</f>
        <v xml:space="preserve"> </v>
      </c>
      <c r="E379" s="14" t="str">
        <f ca="1">Start.listina!X104</f>
        <v xml:space="preserve"> </v>
      </c>
      <c r="F379" s="14"/>
      <c r="G379" s="121"/>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21"/>
      <c r="H380" s="7"/>
      <c r="I380" s="7"/>
    </row>
    <row r="381" spans="1:9">
      <c r="A381" s="14">
        <f ca="1">Start.listina!AH105</f>
        <v>0</v>
      </c>
      <c r="B381" s="14" t="str">
        <f ca="1">Start.listina!I105</f>
        <v/>
      </c>
      <c r="C381" s="227" t="str">
        <f ca="1">Start.listina!J105</f>
        <v xml:space="preserve"> </v>
      </c>
      <c r="D381" s="14" t="str">
        <f ca="1">Start.listina!K105</f>
        <v xml:space="preserve"> </v>
      </c>
      <c r="E381" s="14" t="str">
        <f ca="1">Start.listina!L105</f>
        <v xml:space="preserve"> </v>
      </c>
      <c r="F381" s="14"/>
      <c r="G381" s="121" t="str">
        <f ca="1">IF(N(A381)&gt;0,VLOOKUP(A381,Body!$A$4:$F$259,5,0),"")</f>
        <v/>
      </c>
      <c r="H381" s="7" t="str">
        <f ca="1">IF(N(A381)&gt;0,VLOOKUP(A381,Body!$A$4:$F$259,6,0),"")</f>
        <v/>
      </c>
      <c r="I381" s="7" t="str">
        <f ca="1">IF(N(A381)&gt;0,VLOOKUP(A381,Body!$A$4:$F$259,2,0),"")</f>
        <v/>
      </c>
    </row>
    <row r="382" spans="1:9">
      <c r="A382" s="14"/>
      <c r="B382" s="14" t="str">
        <f ca="1">Start.listina!O105</f>
        <v/>
      </c>
      <c r="C382" s="14" t="str">
        <f ca="1">Start.listina!P105</f>
        <v xml:space="preserve"> </v>
      </c>
      <c r="D382" s="14" t="str">
        <f ca="1">Start.listina!Q105</f>
        <v xml:space="preserve"> </v>
      </c>
      <c r="E382" s="14" t="str">
        <f ca="1">Start.listina!R105</f>
        <v xml:space="preserve"> </v>
      </c>
      <c r="F382" s="14"/>
      <c r="G382" s="121"/>
      <c r="H382" s="7"/>
      <c r="I382" s="7"/>
    </row>
    <row r="383" spans="1:9">
      <c r="A383" s="14"/>
      <c r="B383" s="14" t="str">
        <f ca="1">Start.listina!U105</f>
        <v/>
      </c>
      <c r="C383" s="14" t="str">
        <f ca="1">Start.listina!V105</f>
        <v xml:space="preserve"> </v>
      </c>
      <c r="D383" s="14" t="str">
        <f ca="1">Start.listina!W105</f>
        <v xml:space="preserve"> </v>
      </c>
      <c r="E383" s="14" t="str">
        <f ca="1">Start.listina!X105</f>
        <v xml:space="preserve"> </v>
      </c>
      <c r="F383" s="14"/>
      <c r="G383" s="121"/>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21"/>
      <c r="H384" s="7"/>
      <c r="I384" s="7"/>
    </row>
    <row r="385" spans="1:9">
      <c r="A385" s="14">
        <f ca="1">Start.listina!AH106</f>
        <v>0</v>
      </c>
      <c r="B385" s="14" t="str">
        <f ca="1">Start.listina!I106</f>
        <v/>
      </c>
      <c r="C385" s="227" t="str">
        <f ca="1">Start.listina!J106</f>
        <v xml:space="preserve"> </v>
      </c>
      <c r="D385" s="14" t="str">
        <f ca="1">Start.listina!K106</f>
        <v xml:space="preserve"> </v>
      </c>
      <c r="E385" s="14" t="str">
        <f ca="1">Start.listina!L106</f>
        <v xml:space="preserve"> </v>
      </c>
      <c r="F385" s="14"/>
      <c r="G385" s="121" t="str">
        <f ca="1">IF(N(A385)&gt;0,VLOOKUP(A385,Body!$A$4:$F$259,5,0),"")</f>
        <v/>
      </c>
      <c r="H385" s="7" t="str">
        <f ca="1">IF(N(A385)&gt;0,VLOOKUP(A385,Body!$A$4:$F$259,6,0),"")</f>
        <v/>
      </c>
      <c r="I385" s="7" t="str">
        <f ca="1">IF(N(A385)&gt;0,VLOOKUP(A385,Body!$A$4:$F$259,2,0),"")</f>
        <v/>
      </c>
    </row>
    <row r="386" spans="1:9">
      <c r="A386" s="14"/>
      <c r="B386" s="14" t="str">
        <f ca="1">Start.listina!O106</f>
        <v/>
      </c>
      <c r="C386" s="14" t="str">
        <f ca="1">Start.listina!P106</f>
        <v xml:space="preserve"> </v>
      </c>
      <c r="D386" s="14" t="str">
        <f ca="1">Start.listina!Q106</f>
        <v xml:space="preserve"> </v>
      </c>
      <c r="E386" s="14" t="str">
        <f ca="1">Start.listina!R106</f>
        <v xml:space="preserve"> </v>
      </c>
      <c r="F386" s="14"/>
      <c r="G386" s="121"/>
      <c r="H386" s="7"/>
      <c r="I386" s="7"/>
    </row>
    <row r="387" spans="1:9">
      <c r="A387" s="14"/>
      <c r="B387" s="14" t="str">
        <f ca="1">Start.listina!U106</f>
        <v/>
      </c>
      <c r="C387" s="14" t="str">
        <f ca="1">Start.listina!V106</f>
        <v xml:space="preserve"> </v>
      </c>
      <c r="D387" s="14" t="str">
        <f ca="1">Start.listina!W106</f>
        <v xml:space="preserve"> </v>
      </c>
      <c r="E387" s="14" t="str">
        <f ca="1">Start.listina!X106</f>
        <v xml:space="preserve"> </v>
      </c>
      <c r="F387" s="14"/>
      <c r="G387" s="121"/>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21"/>
      <c r="H388" s="7"/>
      <c r="I388" s="7"/>
    </row>
    <row r="389" spans="1:9">
      <c r="A389" s="14">
        <f ca="1">Start.listina!AH107</f>
        <v>0</v>
      </c>
      <c r="B389" s="14" t="str">
        <f ca="1">Start.listina!I107</f>
        <v/>
      </c>
      <c r="C389" s="227" t="str">
        <f ca="1">Start.listina!J107</f>
        <v xml:space="preserve"> </v>
      </c>
      <c r="D389" s="14" t="str">
        <f ca="1">Start.listina!K107</f>
        <v xml:space="preserve"> </v>
      </c>
      <c r="E389" s="14" t="str">
        <f ca="1">Start.listina!L107</f>
        <v xml:space="preserve"> </v>
      </c>
      <c r="F389" s="14"/>
      <c r="G389" s="121" t="str">
        <f ca="1">IF(N(A389)&gt;0,VLOOKUP(A389,Body!$A$4:$F$259,5,0),"")</f>
        <v/>
      </c>
      <c r="H389" s="7" t="str">
        <f ca="1">IF(N(A389)&gt;0,VLOOKUP(A389,Body!$A$4:$F$259,6,0),"")</f>
        <v/>
      </c>
      <c r="I389" s="7" t="str">
        <f ca="1">IF(N(A389)&gt;0,VLOOKUP(A389,Body!$A$4:$F$259,2,0),"")</f>
        <v/>
      </c>
    </row>
    <row r="390" spans="1:9">
      <c r="A390" s="14"/>
      <c r="B390" s="14" t="str">
        <f ca="1">Start.listina!O107</f>
        <v/>
      </c>
      <c r="C390" s="14" t="str">
        <f ca="1">Start.listina!P107</f>
        <v xml:space="preserve"> </v>
      </c>
      <c r="D390" s="14" t="str">
        <f ca="1">Start.listina!Q107</f>
        <v xml:space="preserve"> </v>
      </c>
      <c r="E390" s="14" t="str">
        <f ca="1">Start.listina!R107</f>
        <v xml:space="preserve"> </v>
      </c>
      <c r="F390" s="14"/>
      <c r="G390" s="121"/>
      <c r="H390" s="7"/>
      <c r="I390" s="7"/>
    </row>
    <row r="391" spans="1:9">
      <c r="A391" s="14"/>
      <c r="B391" s="14" t="str">
        <f ca="1">Start.listina!U107</f>
        <v/>
      </c>
      <c r="C391" s="14" t="str">
        <f ca="1">Start.listina!V107</f>
        <v xml:space="preserve"> </v>
      </c>
      <c r="D391" s="14" t="str">
        <f ca="1">Start.listina!W107</f>
        <v xml:space="preserve"> </v>
      </c>
      <c r="E391" s="14" t="str">
        <f ca="1">Start.listina!X107</f>
        <v xml:space="preserve"> </v>
      </c>
      <c r="F391" s="14"/>
      <c r="G391" s="121"/>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21"/>
      <c r="H392" s="7"/>
      <c r="I392" s="7"/>
    </row>
    <row r="393" spans="1:9">
      <c r="A393" s="14">
        <f ca="1">Start.listina!AH108</f>
        <v>0</v>
      </c>
      <c r="B393" s="14" t="str">
        <f ca="1">Start.listina!I108</f>
        <v/>
      </c>
      <c r="C393" s="227" t="str">
        <f ca="1">Start.listina!J108</f>
        <v xml:space="preserve"> </v>
      </c>
      <c r="D393" s="14" t="str">
        <f ca="1">Start.listina!K108</f>
        <v xml:space="preserve"> </v>
      </c>
      <c r="E393" s="14" t="str">
        <f ca="1">Start.listina!L108</f>
        <v xml:space="preserve"> </v>
      </c>
      <c r="F393" s="14"/>
      <c r="G393" s="121" t="str">
        <f ca="1">IF(N(A393)&gt;0,VLOOKUP(A393,Body!$A$4:$F$259,5,0),"")</f>
        <v/>
      </c>
      <c r="H393" s="7" t="str">
        <f ca="1">IF(N(A393)&gt;0,VLOOKUP(A393,Body!$A$4:$F$259,6,0),"")</f>
        <v/>
      </c>
      <c r="I393" s="7" t="str">
        <f ca="1">IF(N(A393)&gt;0,VLOOKUP(A393,Body!$A$4:$F$259,2,0),"")</f>
        <v/>
      </c>
    </row>
    <row r="394" spans="1:9">
      <c r="A394" s="14"/>
      <c r="B394" s="14" t="str">
        <f ca="1">Start.listina!O108</f>
        <v/>
      </c>
      <c r="C394" s="14" t="str">
        <f ca="1">Start.listina!P108</f>
        <v xml:space="preserve"> </v>
      </c>
      <c r="D394" s="14" t="str">
        <f ca="1">Start.listina!Q108</f>
        <v xml:space="preserve"> </v>
      </c>
      <c r="E394" s="14" t="str">
        <f ca="1">Start.listina!R108</f>
        <v xml:space="preserve"> </v>
      </c>
      <c r="F394" s="14"/>
      <c r="G394" s="121"/>
      <c r="H394" s="7"/>
      <c r="I394" s="7"/>
    </row>
    <row r="395" spans="1:9">
      <c r="A395" s="14"/>
      <c r="B395" s="14" t="str">
        <f ca="1">Start.listina!U108</f>
        <v/>
      </c>
      <c r="C395" s="14" t="str">
        <f ca="1">Start.listina!V108</f>
        <v xml:space="preserve"> </v>
      </c>
      <c r="D395" s="14" t="str">
        <f ca="1">Start.listina!W108</f>
        <v xml:space="preserve"> </v>
      </c>
      <c r="E395" s="14" t="str">
        <f ca="1">Start.listina!X108</f>
        <v xml:space="preserve"> </v>
      </c>
      <c r="F395" s="14"/>
      <c r="G395" s="121"/>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21"/>
      <c r="H396" s="7"/>
      <c r="I396" s="7"/>
    </row>
    <row r="397" spans="1:9">
      <c r="A397" s="14">
        <f ca="1">Start.listina!AH109</f>
        <v>0</v>
      </c>
      <c r="B397" s="14" t="str">
        <f ca="1">Start.listina!I109</f>
        <v/>
      </c>
      <c r="C397" s="227" t="str">
        <f ca="1">Start.listina!J109</f>
        <v xml:space="preserve"> </v>
      </c>
      <c r="D397" s="14" t="str">
        <f ca="1">Start.listina!K109</f>
        <v xml:space="preserve"> </v>
      </c>
      <c r="E397" s="14" t="str">
        <f ca="1">Start.listina!L109</f>
        <v xml:space="preserve"> </v>
      </c>
      <c r="F397" s="14"/>
      <c r="G397" s="121" t="str">
        <f ca="1">IF(N(A397)&gt;0,VLOOKUP(A397,Body!$A$4:$F$259,5,0),"")</f>
        <v/>
      </c>
      <c r="H397" s="7" t="str">
        <f ca="1">IF(N(A397)&gt;0,VLOOKUP(A397,Body!$A$4:$F$259,6,0),"")</f>
        <v/>
      </c>
      <c r="I397" s="7" t="str">
        <f ca="1">IF(N(A397)&gt;0,VLOOKUP(A397,Body!$A$4:$F$259,2,0),"")</f>
        <v/>
      </c>
    </row>
    <row r="398" spans="1:9">
      <c r="A398" s="14"/>
      <c r="B398" s="14" t="str">
        <f ca="1">Start.listina!O109</f>
        <v/>
      </c>
      <c r="C398" s="14" t="str">
        <f ca="1">Start.listina!P109</f>
        <v xml:space="preserve"> </v>
      </c>
      <c r="D398" s="14" t="str">
        <f ca="1">Start.listina!Q109</f>
        <v xml:space="preserve"> </v>
      </c>
      <c r="E398" s="14" t="str">
        <f ca="1">Start.listina!R109</f>
        <v xml:space="preserve"> </v>
      </c>
      <c r="F398" s="14"/>
      <c r="G398" s="121"/>
      <c r="H398" s="7"/>
      <c r="I398" s="7"/>
    </row>
    <row r="399" spans="1:9">
      <c r="A399" s="14"/>
      <c r="B399" s="14" t="str">
        <f ca="1">Start.listina!U109</f>
        <v/>
      </c>
      <c r="C399" s="14" t="str">
        <f ca="1">Start.listina!V109</f>
        <v xml:space="preserve"> </v>
      </c>
      <c r="D399" s="14" t="str">
        <f ca="1">Start.listina!W109</f>
        <v xml:space="preserve"> </v>
      </c>
      <c r="E399" s="14" t="str">
        <f ca="1">Start.listina!X109</f>
        <v xml:space="preserve"> </v>
      </c>
      <c r="F399" s="14"/>
      <c r="G399" s="121"/>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21"/>
      <c r="H400" s="7"/>
      <c r="I400" s="7"/>
    </row>
    <row r="401" spans="1:9">
      <c r="A401" s="14">
        <f ca="1">Start.listina!AH110</f>
        <v>0</v>
      </c>
      <c r="B401" s="14" t="str">
        <f ca="1">Start.listina!I110</f>
        <v/>
      </c>
      <c r="C401" s="227" t="str">
        <f ca="1">Start.listina!J110</f>
        <v xml:space="preserve"> </v>
      </c>
      <c r="D401" s="14" t="str">
        <f ca="1">Start.listina!K110</f>
        <v xml:space="preserve"> </v>
      </c>
      <c r="E401" s="14" t="str">
        <f ca="1">Start.listina!L110</f>
        <v xml:space="preserve"> </v>
      </c>
      <c r="F401" s="14"/>
      <c r="G401" s="121" t="str">
        <f ca="1">IF(N(A401)&gt;0,VLOOKUP(A401,Body!$A$4:$F$259,5,0),"")</f>
        <v/>
      </c>
      <c r="H401" s="7" t="str">
        <f ca="1">IF(N(A401)&gt;0,VLOOKUP(A401,Body!$A$4:$F$259,6,0),"")</f>
        <v/>
      </c>
      <c r="I401" s="7" t="str">
        <f ca="1">IF(N(A401)&gt;0,VLOOKUP(A401,Body!$A$4:$F$259,2,0),"")</f>
        <v/>
      </c>
    </row>
    <row r="402" spans="1:9">
      <c r="A402" s="14"/>
      <c r="B402" s="14" t="str">
        <f ca="1">Start.listina!O110</f>
        <v/>
      </c>
      <c r="C402" s="14" t="str">
        <f ca="1">Start.listina!P110</f>
        <v xml:space="preserve"> </v>
      </c>
      <c r="D402" s="14" t="str">
        <f ca="1">Start.listina!Q110</f>
        <v xml:space="preserve"> </v>
      </c>
      <c r="E402" s="14" t="str">
        <f ca="1">Start.listina!R110</f>
        <v xml:space="preserve"> </v>
      </c>
      <c r="F402" s="14"/>
      <c r="G402" s="121"/>
      <c r="H402" s="7"/>
      <c r="I402" s="7"/>
    </row>
    <row r="403" spans="1:9">
      <c r="A403" s="14"/>
      <c r="B403" s="14" t="str">
        <f ca="1">Start.listina!U110</f>
        <v/>
      </c>
      <c r="C403" s="14" t="str">
        <f ca="1">Start.listina!V110</f>
        <v xml:space="preserve"> </v>
      </c>
      <c r="D403" s="14" t="str">
        <f ca="1">Start.listina!W110</f>
        <v xml:space="preserve"> </v>
      </c>
      <c r="E403" s="14" t="str">
        <f ca="1">Start.listina!X110</f>
        <v xml:space="preserve"> </v>
      </c>
      <c r="F403" s="14"/>
      <c r="G403" s="121"/>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21"/>
      <c r="H404" s="7"/>
      <c r="I404" s="7"/>
    </row>
    <row r="405" spans="1:9">
      <c r="A405" s="14">
        <f ca="1">Start.listina!AH111</f>
        <v>0</v>
      </c>
      <c r="B405" s="14" t="str">
        <f ca="1">Start.listina!I111</f>
        <v/>
      </c>
      <c r="C405" s="227" t="str">
        <f ca="1">Start.listina!J111</f>
        <v xml:space="preserve"> </v>
      </c>
      <c r="D405" s="14" t="str">
        <f ca="1">Start.listina!K111</f>
        <v xml:space="preserve"> </v>
      </c>
      <c r="E405" s="14" t="str">
        <f ca="1">Start.listina!L111</f>
        <v xml:space="preserve"> </v>
      </c>
      <c r="F405" s="14"/>
      <c r="G405" s="121" t="str">
        <f ca="1">IF(N(A405)&gt;0,VLOOKUP(A405,Body!$A$4:$F$259,5,0),"")</f>
        <v/>
      </c>
      <c r="H405" s="7" t="str">
        <f ca="1">IF(N(A405)&gt;0,VLOOKUP(A405,Body!$A$4:$F$259,6,0),"")</f>
        <v/>
      </c>
      <c r="I405" s="7" t="str">
        <f ca="1">IF(N(A405)&gt;0,VLOOKUP(A405,Body!$A$4:$F$259,2,0),"")</f>
        <v/>
      </c>
    </row>
    <row r="406" spans="1:9">
      <c r="A406" s="14"/>
      <c r="B406" s="14" t="str">
        <f ca="1">Start.listina!O111</f>
        <v/>
      </c>
      <c r="C406" s="14" t="str">
        <f ca="1">Start.listina!P111</f>
        <v xml:space="preserve"> </v>
      </c>
      <c r="D406" s="14" t="str">
        <f ca="1">Start.listina!Q111</f>
        <v xml:space="preserve"> </v>
      </c>
      <c r="E406" s="14" t="str">
        <f ca="1">Start.listina!R111</f>
        <v xml:space="preserve"> </v>
      </c>
      <c r="F406" s="14"/>
      <c r="G406" s="121"/>
      <c r="H406" s="7"/>
      <c r="I406" s="7"/>
    </row>
    <row r="407" spans="1:9">
      <c r="A407" s="14"/>
      <c r="B407" s="14" t="str">
        <f ca="1">Start.listina!U111</f>
        <v/>
      </c>
      <c r="C407" s="14" t="str">
        <f ca="1">Start.listina!V111</f>
        <v xml:space="preserve"> </v>
      </c>
      <c r="D407" s="14" t="str">
        <f ca="1">Start.listina!W111</f>
        <v xml:space="preserve"> </v>
      </c>
      <c r="E407" s="14" t="str">
        <f ca="1">Start.listina!X111</f>
        <v xml:space="preserve"> </v>
      </c>
      <c r="F407" s="14"/>
      <c r="G407" s="121"/>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21"/>
      <c r="H408" s="7"/>
      <c r="I408" s="7"/>
    </row>
    <row r="409" spans="1:9">
      <c r="A409" s="14">
        <f ca="1">Start.listina!AH112</f>
        <v>0</v>
      </c>
      <c r="B409" s="14" t="str">
        <f ca="1">Start.listina!I112</f>
        <v/>
      </c>
      <c r="C409" s="227" t="str">
        <f ca="1">Start.listina!J112</f>
        <v xml:space="preserve"> </v>
      </c>
      <c r="D409" s="14" t="str">
        <f ca="1">Start.listina!K112</f>
        <v xml:space="preserve"> </v>
      </c>
      <c r="E409" s="14" t="str">
        <f ca="1">Start.listina!L112</f>
        <v xml:space="preserve"> </v>
      </c>
      <c r="F409" s="14"/>
      <c r="G409" s="121" t="str">
        <f ca="1">IF(N(A409)&gt;0,VLOOKUP(A409,Body!$A$4:$F$259,5,0),"")</f>
        <v/>
      </c>
      <c r="H409" s="7" t="str">
        <f ca="1">IF(N(A409)&gt;0,VLOOKUP(A409,Body!$A$4:$F$259,6,0),"")</f>
        <v/>
      </c>
      <c r="I409" s="7" t="str">
        <f ca="1">IF(N(A409)&gt;0,VLOOKUP(A409,Body!$A$4:$F$259,2,0),"")</f>
        <v/>
      </c>
    </row>
    <row r="410" spans="1:9">
      <c r="A410" s="14"/>
      <c r="B410" s="14" t="str">
        <f ca="1">Start.listina!O112</f>
        <v/>
      </c>
      <c r="C410" s="14" t="str">
        <f ca="1">Start.listina!P112</f>
        <v xml:space="preserve"> </v>
      </c>
      <c r="D410" s="14" t="str">
        <f ca="1">Start.listina!Q112</f>
        <v xml:space="preserve"> </v>
      </c>
      <c r="E410" s="14" t="str">
        <f ca="1">Start.listina!R112</f>
        <v xml:space="preserve"> </v>
      </c>
      <c r="F410" s="14"/>
      <c r="G410" s="121"/>
      <c r="H410" s="7"/>
      <c r="I410" s="7"/>
    </row>
    <row r="411" spans="1:9">
      <c r="A411" s="14"/>
      <c r="B411" s="14" t="str">
        <f ca="1">Start.listina!U112</f>
        <v/>
      </c>
      <c r="C411" s="14" t="str">
        <f ca="1">Start.listina!V112</f>
        <v xml:space="preserve"> </v>
      </c>
      <c r="D411" s="14" t="str">
        <f ca="1">Start.listina!W112</f>
        <v xml:space="preserve"> </v>
      </c>
      <c r="E411" s="14" t="str">
        <f ca="1">Start.listina!X112</f>
        <v xml:space="preserve"> </v>
      </c>
      <c r="F411" s="14"/>
      <c r="G411" s="121"/>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21"/>
      <c r="H412" s="7"/>
      <c r="I412" s="7"/>
    </row>
    <row r="413" spans="1:9">
      <c r="A413" s="14">
        <f ca="1">Start.listina!AH113</f>
        <v>0</v>
      </c>
      <c r="B413" s="14" t="str">
        <f ca="1">Start.listina!I113</f>
        <v/>
      </c>
      <c r="C413" s="227" t="str">
        <f ca="1">Start.listina!J113</f>
        <v xml:space="preserve"> </v>
      </c>
      <c r="D413" s="14" t="str">
        <f ca="1">Start.listina!K113</f>
        <v xml:space="preserve"> </v>
      </c>
      <c r="E413" s="14" t="str">
        <f ca="1">Start.listina!L113</f>
        <v xml:space="preserve"> </v>
      </c>
      <c r="F413" s="14"/>
      <c r="G413" s="121" t="str">
        <f ca="1">IF(N(A413)&gt;0,VLOOKUP(A413,Body!$A$4:$F$259,5,0),"")</f>
        <v/>
      </c>
      <c r="H413" s="7" t="str">
        <f ca="1">IF(N(A413)&gt;0,VLOOKUP(A413,Body!$A$4:$F$259,6,0),"")</f>
        <v/>
      </c>
      <c r="I413" s="7" t="str">
        <f ca="1">IF(N(A413)&gt;0,VLOOKUP(A413,Body!$A$4:$F$259,2,0),"")</f>
        <v/>
      </c>
    </row>
    <row r="414" spans="1:9">
      <c r="A414" s="14"/>
      <c r="B414" s="14" t="str">
        <f ca="1">Start.listina!O113</f>
        <v/>
      </c>
      <c r="C414" s="14" t="str">
        <f ca="1">Start.listina!P113</f>
        <v xml:space="preserve"> </v>
      </c>
      <c r="D414" s="14" t="str">
        <f ca="1">Start.listina!Q113</f>
        <v xml:space="preserve"> </v>
      </c>
      <c r="E414" s="14" t="str">
        <f ca="1">Start.listina!R113</f>
        <v xml:space="preserve"> </v>
      </c>
      <c r="F414" s="14"/>
      <c r="G414" s="121"/>
      <c r="H414" s="7"/>
      <c r="I414" s="7"/>
    </row>
    <row r="415" spans="1:9">
      <c r="A415" s="14"/>
      <c r="B415" s="14" t="str">
        <f ca="1">Start.listina!U113</f>
        <v/>
      </c>
      <c r="C415" s="14" t="str">
        <f ca="1">Start.listina!V113</f>
        <v xml:space="preserve"> </v>
      </c>
      <c r="D415" s="14" t="str">
        <f ca="1">Start.listina!W113</f>
        <v xml:space="preserve"> </v>
      </c>
      <c r="E415" s="14" t="str">
        <f ca="1">Start.listina!X113</f>
        <v xml:space="preserve"> </v>
      </c>
      <c r="F415" s="14"/>
      <c r="G415" s="121"/>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21"/>
      <c r="H416" s="7"/>
      <c r="I416" s="7"/>
    </row>
    <row r="417" spans="1:9">
      <c r="A417" s="14">
        <f ca="1">Start.listina!AH114</f>
        <v>0</v>
      </c>
      <c r="B417" s="14" t="str">
        <f ca="1">Start.listina!I114</f>
        <v/>
      </c>
      <c r="C417" s="227" t="str">
        <f ca="1">Start.listina!J114</f>
        <v xml:space="preserve"> </v>
      </c>
      <c r="D417" s="14" t="str">
        <f ca="1">Start.listina!K114</f>
        <v xml:space="preserve"> </v>
      </c>
      <c r="E417" s="14" t="str">
        <f ca="1">Start.listina!L114</f>
        <v xml:space="preserve"> </v>
      </c>
      <c r="F417" s="14"/>
      <c r="G417" s="121" t="str">
        <f ca="1">IF(N(A417)&gt;0,VLOOKUP(A417,Body!$A$4:$F$259,5,0),"")</f>
        <v/>
      </c>
      <c r="H417" s="7" t="str">
        <f ca="1">IF(N(A417)&gt;0,VLOOKUP(A417,Body!$A$4:$F$259,6,0),"")</f>
        <v/>
      </c>
      <c r="I417" s="7" t="str">
        <f ca="1">IF(N(A417)&gt;0,VLOOKUP(A417,Body!$A$4:$F$259,2,0),"")</f>
        <v/>
      </c>
    </row>
    <row r="418" spans="1:9">
      <c r="A418" s="14"/>
      <c r="B418" s="14" t="str">
        <f ca="1">Start.listina!O114</f>
        <v/>
      </c>
      <c r="C418" s="14" t="str">
        <f ca="1">Start.listina!P114</f>
        <v xml:space="preserve"> </v>
      </c>
      <c r="D418" s="14" t="str">
        <f ca="1">Start.listina!Q114</f>
        <v xml:space="preserve"> </v>
      </c>
      <c r="E418" s="14" t="str">
        <f ca="1">Start.listina!R114</f>
        <v xml:space="preserve"> </v>
      </c>
      <c r="F418" s="14"/>
      <c r="G418" s="121"/>
      <c r="H418" s="7"/>
      <c r="I418" s="7"/>
    </row>
    <row r="419" spans="1:9">
      <c r="A419" s="14"/>
      <c r="B419" s="14" t="str">
        <f ca="1">Start.listina!U114</f>
        <v/>
      </c>
      <c r="C419" s="14" t="str">
        <f ca="1">Start.listina!V114</f>
        <v xml:space="preserve"> </v>
      </c>
      <c r="D419" s="14" t="str">
        <f ca="1">Start.listina!W114</f>
        <v xml:space="preserve"> </v>
      </c>
      <c r="E419" s="14" t="str">
        <f ca="1">Start.listina!X114</f>
        <v xml:space="preserve"> </v>
      </c>
      <c r="F419" s="14"/>
      <c r="G419" s="121"/>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21"/>
      <c r="H420" s="7"/>
      <c r="I420" s="7"/>
    </row>
    <row r="421" spans="1:9">
      <c r="A421" s="14">
        <f ca="1">Start.listina!AH115</f>
        <v>0</v>
      </c>
      <c r="B421" s="14" t="str">
        <f ca="1">Start.listina!I115</f>
        <v/>
      </c>
      <c r="C421" s="227" t="str">
        <f ca="1">Start.listina!J115</f>
        <v xml:space="preserve"> </v>
      </c>
      <c r="D421" s="14" t="str">
        <f ca="1">Start.listina!K115</f>
        <v xml:space="preserve"> </v>
      </c>
      <c r="E421" s="14" t="str">
        <f ca="1">Start.listina!L115</f>
        <v xml:space="preserve"> </v>
      </c>
      <c r="F421" s="14"/>
      <c r="G421" s="121" t="str">
        <f ca="1">IF(N(A421)&gt;0,VLOOKUP(A421,Body!$A$4:$F$259,5,0),"")</f>
        <v/>
      </c>
      <c r="H421" s="7" t="str">
        <f ca="1">IF(N(A421)&gt;0,VLOOKUP(A421,Body!$A$4:$F$259,6,0),"")</f>
        <v/>
      </c>
      <c r="I421" s="7" t="str">
        <f ca="1">IF(N(A421)&gt;0,VLOOKUP(A421,Body!$A$4:$F$259,2,0),"")</f>
        <v/>
      </c>
    </row>
    <row r="422" spans="1:9">
      <c r="A422" s="14"/>
      <c r="B422" s="14" t="str">
        <f ca="1">Start.listina!O115</f>
        <v/>
      </c>
      <c r="C422" s="14" t="str">
        <f ca="1">Start.listina!P115</f>
        <v xml:space="preserve"> </v>
      </c>
      <c r="D422" s="14" t="str">
        <f ca="1">Start.listina!Q115</f>
        <v xml:space="preserve"> </v>
      </c>
      <c r="E422" s="14" t="str">
        <f ca="1">Start.listina!R115</f>
        <v xml:space="preserve"> </v>
      </c>
      <c r="F422" s="14"/>
      <c r="G422" s="121"/>
      <c r="H422" s="7"/>
      <c r="I422" s="7"/>
    </row>
    <row r="423" spans="1:9">
      <c r="A423" s="14"/>
      <c r="B423" s="14" t="str">
        <f ca="1">Start.listina!U115</f>
        <v/>
      </c>
      <c r="C423" s="14" t="str">
        <f ca="1">Start.listina!V115</f>
        <v xml:space="preserve"> </v>
      </c>
      <c r="D423" s="14" t="str">
        <f ca="1">Start.listina!W115</f>
        <v xml:space="preserve"> </v>
      </c>
      <c r="E423" s="14" t="str">
        <f ca="1">Start.listina!X115</f>
        <v xml:space="preserve"> </v>
      </c>
      <c r="F423" s="14"/>
      <c r="G423" s="121"/>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21"/>
      <c r="H424" s="7"/>
      <c r="I424" s="7"/>
    </row>
    <row r="425" spans="1:9">
      <c r="A425" s="14">
        <f ca="1">Start.listina!AH116</f>
        <v>0</v>
      </c>
      <c r="B425" s="14" t="str">
        <f ca="1">Start.listina!I116</f>
        <v/>
      </c>
      <c r="C425" s="227" t="str">
        <f ca="1">Start.listina!J116</f>
        <v xml:space="preserve"> </v>
      </c>
      <c r="D425" s="14" t="str">
        <f ca="1">Start.listina!K116</f>
        <v xml:space="preserve"> </v>
      </c>
      <c r="E425" s="14" t="str">
        <f ca="1">Start.listina!L116</f>
        <v xml:space="preserve"> </v>
      </c>
      <c r="F425" s="14"/>
      <c r="G425" s="121" t="str">
        <f ca="1">IF(N(A425)&gt;0,VLOOKUP(A425,Body!$A$4:$F$259,5,0),"")</f>
        <v/>
      </c>
      <c r="H425" s="7" t="str">
        <f ca="1">IF(N(A425)&gt;0,VLOOKUP(A425,Body!$A$4:$F$259,6,0),"")</f>
        <v/>
      </c>
      <c r="I425" s="7" t="str">
        <f ca="1">IF(N(A425)&gt;0,VLOOKUP(A425,Body!$A$4:$F$259,2,0),"")</f>
        <v/>
      </c>
    </row>
    <row r="426" spans="1:9">
      <c r="A426" s="14"/>
      <c r="B426" s="14" t="str">
        <f ca="1">Start.listina!O116</f>
        <v/>
      </c>
      <c r="C426" s="14" t="str">
        <f ca="1">Start.listina!P116</f>
        <v xml:space="preserve"> </v>
      </c>
      <c r="D426" s="14" t="str">
        <f ca="1">Start.listina!Q116</f>
        <v xml:space="preserve"> </v>
      </c>
      <c r="E426" s="14" t="str">
        <f ca="1">Start.listina!R116</f>
        <v xml:space="preserve"> </v>
      </c>
      <c r="F426" s="14"/>
      <c r="G426" s="121"/>
      <c r="H426" s="7"/>
      <c r="I426" s="7"/>
    </row>
    <row r="427" spans="1:9">
      <c r="A427" s="14"/>
      <c r="B427" s="14" t="str">
        <f ca="1">Start.listina!U116</f>
        <v/>
      </c>
      <c r="C427" s="14" t="str">
        <f ca="1">Start.listina!V116</f>
        <v xml:space="preserve"> </v>
      </c>
      <c r="D427" s="14" t="str">
        <f ca="1">Start.listina!W116</f>
        <v xml:space="preserve"> </v>
      </c>
      <c r="E427" s="14" t="str">
        <f ca="1">Start.listina!X116</f>
        <v xml:space="preserve"> </v>
      </c>
      <c r="F427" s="14"/>
      <c r="G427" s="121"/>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21"/>
      <c r="H428" s="7"/>
      <c r="I428" s="7"/>
    </row>
    <row r="429" spans="1:9">
      <c r="A429" s="14">
        <f ca="1">Start.listina!AH117</f>
        <v>0</v>
      </c>
      <c r="B429" s="14" t="str">
        <f ca="1">Start.listina!I117</f>
        <v/>
      </c>
      <c r="C429" s="227" t="str">
        <f ca="1">Start.listina!J117</f>
        <v xml:space="preserve"> </v>
      </c>
      <c r="D429" s="14" t="str">
        <f ca="1">Start.listina!K117</f>
        <v xml:space="preserve"> </v>
      </c>
      <c r="E429" s="14" t="str">
        <f ca="1">Start.listina!L117</f>
        <v xml:space="preserve"> </v>
      </c>
      <c r="F429" s="14"/>
      <c r="G429" s="121" t="str">
        <f ca="1">IF(N(A429)&gt;0,VLOOKUP(A429,Body!$A$4:$F$259,5,0),"")</f>
        <v/>
      </c>
      <c r="H429" s="7" t="str">
        <f ca="1">IF(N(A429)&gt;0,VLOOKUP(A429,Body!$A$4:$F$259,6,0),"")</f>
        <v/>
      </c>
      <c r="I429" s="7" t="str">
        <f ca="1">IF(N(A429)&gt;0,VLOOKUP(A429,Body!$A$4:$F$259,2,0),"")</f>
        <v/>
      </c>
    </row>
    <row r="430" spans="1:9">
      <c r="A430" s="14"/>
      <c r="B430" s="14" t="str">
        <f ca="1">Start.listina!O117</f>
        <v/>
      </c>
      <c r="C430" s="14" t="str">
        <f ca="1">Start.listina!P117</f>
        <v xml:space="preserve"> </v>
      </c>
      <c r="D430" s="14" t="str">
        <f ca="1">Start.listina!Q117</f>
        <v xml:space="preserve"> </v>
      </c>
      <c r="E430" s="14" t="str">
        <f ca="1">Start.listina!R117</f>
        <v xml:space="preserve"> </v>
      </c>
      <c r="F430" s="14"/>
      <c r="G430" s="121"/>
      <c r="H430" s="7"/>
      <c r="I430" s="7"/>
    </row>
    <row r="431" spans="1:9">
      <c r="A431" s="14"/>
      <c r="B431" s="14" t="str">
        <f ca="1">Start.listina!U117</f>
        <v/>
      </c>
      <c r="C431" s="14" t="str">
        <f ca="1">Start.listina!V117</f>
        <v xml:space="preserve"> </v>
      </c>
      <c r="D431" s="14" t="str">
        <f ca="1">Start.listina!W117</f>
        <v xml:space="preserve"> </v>
      </c>
      <c r="E431" s="14" t="str">
        <f ca="1">Start.listina!X117</f>
        <v xml:space="preserve"> </v>
      </c>
      <c r="F431" s="14"/>
      <c r="G431" s="121"/>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21"/>
      <c r="H432" s="7"/>
      <c r="I432" s="7"/>
    </row>
    <row r="433" spans="1:9">
      <c r="A433" s="14">
        <f ca="1">Start.listina!AH118</f>
        <v>0</v>
      </c>
      <c r="B433" s="14" t="str">
        <f ca="1">Start.listina!I118</f>
        <v/>
      </c>
      <c r="C433" s="227" t="str">
        <f ca="1">Start.listina!J118</f>
        <v xml:space="preserve"> </v>
      </c>
      <c r="D433" s="14" t="str">
        <f ca="1">Start.listina!K118</f>
        <v xml:space="preserve"> </v>
      </c>
      <c r="E433" s="14" t="str">
        <f ca="1">Start.listina!L118</f>
        <v xml:space="preserve"> </v>
      </c>
      <c r="F433" s="14"/>
      <c r="G433" s="121" t="str">
        <f ca="1">IF(N(A433)&gt;0,VLOOKUP(A433,Body!$A$4:$F$259,5,0),"")</f>
        <v/>
      </c>
      <c r="H433" s="7" t="str">
        <f ca="1">IF(N(A433)&gt;0,VLOOKUP(A433,Body!$A$4:$F$259,6,0),"")</f>
        <v/>
      </c>
      <c r="I433" s="7" t="str">
        <f ca="1">IF(N(A433)&gt;0,VLOOKUP(A433,Body!$A$4:$F$259,2,0),"")</f>
        <v/>
      </c>
    </row>
    <row r="434" spans="1:9">
      <c r="A434" s="14"/>
      <c r="B434" s="14" t="str">
        <f ca="1">Start.listina!O118</f>
        <v/>
      </c>
      <c r="C434" s="14" t="str">
        <f ca="1">Start.listina!P118</f>
        <v xml:space="preserve"> </v>
      </c>
      <c r="D434" s="14" t="str">
        <f ca="1">Start.listina!Q118</f>
        <v xml:space="preserve"> </v>
      </c>
      <c r="E434" s="14" t="str">
        <f ca="1">Start.listina!R118</f>
        <v xml:space="preserve"> </v>
      </c>
      <c r="F434" s="14"/>
      <c r="G434" s="121"/>
      <c r="H434" s="7"/>
      <c r="I434" s="7"/>
    </row>
    <row r="435" spans="1:9">
      <c r="A435" s="14"/>
      <c r="B435" s="14" t="str">
        <f ca="1">Start.listina!U118</f>
        <v/>
      </c>
      <c r="C435" s="14" t="str">
        <f ca="1">Start.listina!V118</f>
        <v xml:space="preserve"> </v>
      </c>
      <c r="D435" s="14" t="str">
        <f ca="1">Start.listina!W118</f>
        <v xml:space="preserve"> </v>
      </c>
      <c r="E435" s="14" t="str">
        <f ca="1">Start.listina!X118</f>
        <v xml:space="preserve"> </v>
      </c>
      <c r="F435" s="14"/>
      <c r="G435" s="121"/>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21"/>
      <c r="H436" s="7"/>
      <c r="I436" s="7"/>
    </row>
    <row r="437" spans="1:9">
      <c r="A437" s="14">
        <f ca="1">Start.listina!AH119</f>
        <v>0</v>
      </c>
      <c r="B437" s="14" t="str">
        <f ca="1">Start.listina!I119</f>
        <v/>
      </c>
      <c r="C437" s="227" t="str">
        <f ca="1">Start.listina!J119</f>
        <v xml:space="preserve"> </v>
      </c>
      <c r="D437" s="14" t="str">
        <f ca="1">Start.listina!K119</f>
        <v xml:space="preserve"> </v>
      </c>
      <c r="E437" s="14" t="str">
        <f ca="1">Start.listina!L119</f>
        <v xml:space="preserve"> </v>
      </c>
      <c r="F437" s="14"/>
      <c r="G437" s="121" t="str">
        <f ca="1">IF(N(A437)&gt;0,VLOOKUP(A437,Body!$A$4:$F$259,5,0),"")</f>
        <v/>
      </c>
      <c r="H437" s="7" t="str">
        <f ca="1">IF(N(A437)&gt;0,VLOOKUP(A437,Body!$A$4:$F$259,6,0),"")</f>
        <v/>
      </c>
      <c r="I437" s="7" t="str">
        <f ca="1">IF(N(A437)&gt;0,VLOOKUP(A437,Body!$A$4:$F$259,2,0),"")</f>
        <v/>
      </c>
    </row>
    <row r="438" spans="1:9">
      <c r="A438" s="14"/>
      <c r="B438" s="14" t="str">
        <f ca="1">Start.listina!O119</f>
        <v/>
      </c>
      <c r="C438" s="14" t="str">
        <f ca="1">Start.listina!P119</f>
        <v xml:space="preserve"> </v>
      </c>
      <c r="D438" s="14" t="str">
        <f ca="1">Start.listina!Q119</f>
        <v xml:space="preserve"> </v>
      </c>
      <c r="E438" s="14" t="str">
        <f ca="1">Start.listina!R119</f>
        <v xml:space="preserve"> </v>
      </c>
      <c r="F438" s="14"/>
      <c r="G438" s="121"/>
      <c r="H438" s="7"/>
      <c r="I438" s="7"/>
    </row>
    <row r="439" spans="1:9">
      <c r="A439" s="14"/>
      <c r="B439" s="14" t="str">
        <f ca="1">Start.listina!U119</f>
        <v/>
      </c>
      <c r="C439" s="14" t="str">
        <f ca="1">Start.listina!V119</f>
        <v xml:space="preserve"> </v>
      </c>
      <c r="D439" s="14" t="str">
        <f ca="1">Start.listina!W119</f>
        <v xml:space="preserve"> </v>
      </c>
      <c r="E439" s="14" t="str">
        <f ca="1">Start.listina!X119</f>
        <v xml:space="preserve"> </v>
      </c>
      <c r="F439" s="14"/>
      <c r="G439" s="121"/>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21"/>
      <c r="H440" s="7"/>
      <c r="I440" s="7"/>
    </row>
    <row r="441" spans="1:9">
      <c r="A441" s="14">
        <f ca="1">Start.listina!AH120</f>
        <v>0</v>
      </c>
      <c r="B441" s="14" t="str">
        <f ca="1">Start.listina!I120</f>
        <v/>
      </c>
      <c r="C441" s="227" t="str">
        <f ca="1">Start.listina!J120</f>
        <v xml:space="preserve"> </v>
      </c>
      <c r="D441" s="14" t="str">
        <f ca="1">Start.listina!K120</f>
        <v xml:space="preserve"> </v>
      </c>
      <c r="E441" s="14" t="str">
        <f ca="1">Start.listina!L120</f>
        <v xml:space="preserve"> </v>
      </c>
      <c r="F441" s="14"/>
      <c r="G441" s="121" t="str">
        <f ca="1">IF(N(A441)&gt;0,VLOOKUP(A441,Body!$A$4:$F$259,5,0),"")</f>
        <v/>
      </c>
      <c r="H441" s="7" t="str">
        <f ca="1">IF(N(A441)&gt;0,VLOOKUP(A441,Body!$A$4:$F$259,6,0),"")</f>
        <v/>
      </c>
      <c r="I441" s="7" t="str">
        <f ca="1">IF(N(A441)&gt;0,VLOOKUP(A441,Body!$A$4:$F$259,2,0),"")</f>
        <v/>
      </c>
    </row>
    <row r="442" spans="1:9">
      <c r="A442" s="14"/>
      <c r="B442" s="14" t="str">
        <f ca="1">Start.listina!O120</f>
        <v/>
      </c>
      <c r="C442" s="14" t="str">
        <f ca="1">Start.listina!P120</f>
        <v xml:space="preserve"> </v>
      </c>
      <c r="D442" s="14" t="str">
        <f ca="1">Start.listina!Q120</f>
        <v xml:space="preserve"> </v>
      </c>
      <c r="E442" s="14" t="str">
        <f ca="1">Start.listina!R120</f>
        <v xml:space="preserve"> </v>
      </c>
      <c r="F442" s="14"/>
      <c r="G442" s="121"/>
      <c r="H442" s="7"/>
      <c r="I442" s="7"/>
    </row>
    <row r="443" spans="1:9">
      <c r="A443" s="14"/>
      <c r="B443" s="14" t="str">
        <f ca="1">Start.listina!U120</f>
        <v/>
      </c>
      <c r="C443" s="14" t="str">
        <f ca="1">Start.listina!V120</f>
        <v xml:space="preserve"> </v>
      </c>
      <c r="D443" s="14" t="str">
        <f ca="1">Start.listina!W120</f>
        <v xml:space="preserve"> </v>
      </c>
      <c r="E443" s="14" t="str">
        <f ca="1">Start.listina!X120</f>
        <v xml:space="preserve"> </v>
      </c>
      <c r="F443" s="14"/>
      <c r="G443" s="121"/>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21"/>
      <c r="H444" s="7"/>
      <c r="I444" s="7"/>
    </row>
    <row r="445" spans="1:9">
      <c r="A445" s="14">
        <f ca="1">Start.listina!AH121</f>
        <v>0</v>
      </c>
      <c r="B445" s="14" t="str">
        <f ca="1">Start.listina!I121</f>
        <v/>
      </c>
      <c r="C445" s="227" t="str">
        <f ca="1">Start.listina!J121</f>
        <v xml:space="preserve"> </v>
      </c>
      <c r="D445" s="14" t="str">
        <f ca="1">Start.listina!K121</f>
        <v xml:space="preserve"> </v>
      </c>
      <c r="E445" s="14" t="str">
        <f ca="1">Start.listina!L121</f>
        <v xml:space="preserve"> </v>
      </c>
      <c r="F445" s="14"/>
      <c r="G445" s="121" t="str">
        <f ca="1">IF(N(A445)&gt;0,VLOOKUP(A445,Body!$A$4:$F$259,5,0),"")</f>
        <v/>
      </c>
      <c r="H445" s="7" t="str">
        <f ca="1">IF(N(A445)&gt;0,VLOOKUP(A445,Body!$A$4:$F$259,6,0),"")</f>
        <v/>
      </c>
      <c r="I445" s="7" t="str">
        <f ca="1">IF(N(A445)&gt;0,VLOOKUP(A445,Body!$A$4:$F$259,2,0),"")</f>
        <v/>
      </c>
    </row>
    <row r="446" spans="1:9">
      <c r="A446" s="14"/>
      <c r="B446" s="14" t="str">
        <f ca="1">Start.listina!O121</f>
        <v/>
      </c>
      <c r="C446" s="14" t="str">
        <f ca="1">Start.listina!P121</f>
        <v xml:space="preserve"> </v>
      </c>
      <c r="D446" s="14" t="str">
        <f ca="1">Start.listina!Q121</f>
        <v xml:space="preserve"> </v>
      </c>
      <c r="E446" s="14" t="str">
        <f ca="1">Start.listina!R121</f>
        <v xml:space="preserve"> </v>
      </c>
      <c r="F446" s="14"/>
      <c r="G446" s="121"/>
      <c r="H446" s="7"/>
      <c r="I446" s="7"/>
    </row>
    <row r="447" spans="1:9">
      <c r="A447" s="14"/>
      <c r="B447" s="14" t="str">
        <f ca="1">Start.listina!U121</f>
        <v/>
      </c>
      <c r="C447" s="14" t="str">
        <f ca="1">Start.listina!V121</f>
        <v xml:space="preserve"> </v>
      </c>
      <c r="D447" s="14" t="str">
        <f ca="1">Start.listina!W121</f>
        <v xml:space="preserve"> </v>
      </c>
      <c r="E447" s="14" t="str">
        <f ca="1">Start.listina!X121</f>
        <v xml:space="preserve"> </v>
      </c>
      <c r="F447" s="14"/>
      <c r="G447" s="121"/>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21"/>
      <c r="H448" s="7"/>
      <c r="I448" s="7"/>
    </row>
    <row r="449" spans="1:9">
      <c r="A449" s="14">
        <f ca="1">Start.listina!AH122</f>
        <v>0</v>
      </c>
      <c r="B449" s="14" t="str">
        <f ca="1">Start.listina!I122</f>
        <v/>
      </c>
      <c r="C449" s="227" t="str">
        <f ca="1">Start.listina!J122</f>
        <v xml:space="preserve"> </v>
      </c>
      <c r="D449" s="14" t="str">
        <f ca="1">Start.listina!K122</f>
        <v xml:space="preserve"> </v>
      </c>
      <c r="E449" s="14" t="str">
        <f ca="1">Start.listina!L122</f>
        <v xml:space="preserve"> </v>
      </c>
      <c r="F449" s="14"/>
      <c r="G449" s="121" t="str">
        <f ca="1">IF(N(A449)&gt;0,VLOOKUP(A449,Body!$A$4:$F$259,5,0),"")</f>
        <v/>
      </c>
      <c r="H449" s="7" t="str">
        <f ca="1">IF(N(A449)&gt;0,VLOOKUP(A449,Body!$A$4:$F$259,6,0),"")</f>
        <v/>
      </c>
      <c r="I449" s="7" t="str">
        <f ca="1">IF(N(A449)&gt;0,VLOOKUP(A449,Body!$A$4:$F$259,2,0),"")</f>
        <v/>
      </c>
    </row>
    <row r="450" spans="1:9">
      <c r="A450" s="14"/>
      <c r="B450" s="14" t="str">
        <f ca="1">Start.listina!O122</f>
        <v/>
      </c>
      <c r="C450" s="14" t="str">
        <f ca="1">Start.listina!P122</f>
        <v xml:space="preserve"> </v>
      </c>
      <c r="D450" s="14" t="str">
        <f ca="1">Start.listina!Q122</f>
        <v xml:space="preserve"> </v>
      </c>
      <c r="E450" s="14" t="str">
        <f ca="1">Start.listina!R122</f>
        <v xml:space="preserve"> </v>
      </c>
      <c r="F450" s="14"/>
      <c r="G450" s="121"/>
      <c r="H450" s="7"/>
      <c r="I450" s="7"/>
    </row>
    <row r="451" spans="1:9">
      <c r="A451" s="14"/>
      <c r="B451" s="14" t="str">
        <f ca="1">Start.listina!U122</f>
        <v/>
      </c>
      <c r="C451" s="14" t="str">
        <f ca="1">Start.listina!V122</f>
        <v xml:space="preserve"> </v>
      </c>
      <c r="D451" s="14" t="str">
        <f ca="1">Start.listina!W122</f>
        <v xml:space="preserve"> </v>
      </c>
      <c r="E451" s="14" t="str">
        <f ca="1">Start.listina!X122</f>
        <v xml:space="preserve"> </v>
      </c>
      <c r="F451" s="14"/>
      <c r="G451" s="121"/>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21"/>
      <c r="H452" s="7"/>
      <c r="I452" s="7"/>
    </row>
    <row r="453" spans="1:9">
      <c r="A453" s="14">
        <f ca="1">Start.listina!AH123</f>
        <v>0</v>
      </c>
      <c r="B453" s="14" t="str">
        <f ca="1">Start.listina!I123</f>
        <v/>
      </c>
      <c r="C453" s="227" t="str">
        <f ca="1">Start.listina!J123</f>
        <v xml:space="preserve"> </v>
      </c>
      <c r="D453" s="14" t="str">
        <f ca="1">Start.listina!K123</f>
        <v xml:space="preserve"> </v>
      </c>
      <c r="E453" s="14" t="str">
        <f ca="1">Start.listina!L123</f>
        <v xml:space="preserve"> </v>
      </c>
      <c r="F453" s="14"/>
      <c r="G453" s="121" t="str">
        <f ca="1">IF(N(A453)&gt;0,VLOOKUP(A453,Body!$A$4:$F$259,5,0),"")</f>
        <v/>
      </c>
      <c r="H453" s="7" t="str">
        <f ca="1">IF(N(A453)&gt;0,VLOOKUP(A453,Body!$A$4:$F$259,6,0),"")</f>
        <v/>
      </c>
      <c r="I453" s="7" t="str">
        <f ca="1">IF(N(A453)&gt;0,VLOOKUP(A453,Body!$A$4:$F$259,2,0),"")</f>
        <v/>
      </c>
    </row>
    <row r="454" spans="1:9">
      <c r="A454" s="14"/>
      <c r="B454" s="14" t="str">
        <f ca="1">Start.listina!O123</f>
        <v/>
      </c>
      <c r="C454" s="14" t="str">
        <f ca="1">Start.listina!P123</f>
        <v xml:space="preserve"> </v>
      </c>
      <c r="D454" s="14" t="str">
        <f ca="1">Start.listina!Q123</f>
        <v xml:space="preserve"> </v>
      </c>
      <c r="E454" s="14" t="str">
        <f ca="1">Start.listina!R123</f>
        <v xml:space="preserve"> </v>
      </c>
      <c r="F454" s="14"/>
      <c r="G454" s="121"/>
      <c r="H454" s="7"/>
      <c r="I454" s="7"/>
    </row>
    <row r="455" spans="1:9">
      <c r="A455" s="14"/>
      <c r="B455" s="14" t="str">
        <f ca="1">Start.listina!U123</f>
        <v/>
      </c>
      <c r="C455" s="14" t="str">
        <f ca="1">Start.listina!V123</f>
        <v xml:space="preserve"> </v>
      </c>
      <c r="D455" s="14" t="str">
        <f ca="1">Start.listina!W123</f>
        <v xml:space="preserve"> </v>
      </c>
      <c r="E455" s="14" t="str">
        <f ca="1">Start.listina!X123</f>
        <v xml:space="preserve"> </v>
      </c>
      <c r="F455" s="14"/>
      <c r="G455" s="121"/>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21"/>
      <c r="H456" s="7"/>
      <c r="I456" s="7"/>
    </row>
    <row r="457" spans="1:9">
      <c r="A457" s="14">
        <f ca="1">Start.listina!AH124</f>
        <v>0</v>
      </c>
      <c r="B457" s="14" t="str">
        <f ca="1">Start.listina!I124</f>
        <v/>
      </c>
      <c r="C457" s="227" t="str">
        <f ca="1">Start.listina!J124</f>
        <v xml:space="preserve"> </v>
      </c>
      <c r="D457" s="14" t="str">
        <f ca="1">Start.listina!K124</f>
        <v xml:space="preserve"> </v>
      </c>
      <c r="E457" s="14" t="str">
        <f ca="1">Start.listina!L124</f>
        <v xml:space="preserve"> </v>
      </c>
      <c r="F457" s="14"/>
      <c r="G457" s="121" t="str">
        <f ca="1">IF(N(A457)&gt;0,VLOOKUP(A457,Body!$A$4:$F$259,5,0),"")</f>
        <v/>
      </c>
      <c r="H457" s="7" t="str">
        <f ca="1">IF(N(A457)&gt;0,VLOOKUP(A457,Body!$A$4:$F$259,6,0),"")</f>
        <v/>
      </c>
      <c r="I457" s="7" t="str">
        <f ca="1">IF(N(A457)&gt;0,VLOOKUP(A457,Body!$A$4:$F$259,2,0),"")</f>
        <v/>
      </c>
    </row>
    <row r="458" spans="1:9">
      <c r="A458" s="14"/>
      <c r="B458" s="14" t="str">
        <f ca="1">Start.listina!O124</f>
        <v/>
      </c>
      <c r="C458" s="14" t="str">
        <f ca="1">Start.listina!P124</f>
        <v xml:space="preserve"> </v>
      </c>
      <c r="D458" s="14" t="str">
        <f ca="1">Start.listina!Q124</f>
        <v xml:space="preserve"> </v>
      </c>
      <c r="E458" s="14" t="str">
        <f ca="1">Start.listina!R124</f>
        <v xml:space="preserve"> </v>
      </c>
      <c r="F458" s="14"/>
      <c r="G458" s="121"/>
      <c r="H458" s="7"/>
      <c r="I458" s="7"/>
    </row>
    <row r="459" spans="1:9">
      <c r="A459" s="14"/>
      <c r="B459" s="14" t="str">
        <f ca="1">Start.listina!U124</f>
        <v/>
      </c>
      <c r="C459" s="14" t="str">
        <f ca="1">Start.listina!V124</f>
        <v xml:space="preserve"> </v>
      </c>
      <c r="D459" s="14" t="str">
        <f ca="1">Start.listina!W124</f>
        <v xml:space="preserve"> </v>
      </c>
      <c r="E459" s="14" t="str">
        <f ca="1">Start.listina!X124</f>
        <v xml:space="preserve"> </v>
      </c>
      <c r="F459" s="14"/>
      <c r="G459" s="121"/>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21"/>
      <c r="H460" s="7"/>
      <c r="I460" s="7"/>
    </row>
    <row r="461" spans="1:9">
      <c r="A461" s="14">
        <f ca="1">Start.listina!AH125</f>
        <v>0</v>
      </c>
      <c r="B461" s="14" t="str">
        <f ca="1">Start.listina!I125</f>
        <v/>
      </c>
      <c r="C461" s="227" t="str">
        <f ca="1">Start.listina!J125</f>
        <v xml:space="preserve"> </v>
      </c>
      <c r="D461" s="14" t="str">
        <f ca="1">Start.listina!K125</f>
        <v xml:space="preserve"> </v>
      </c>
      <c r="E461" s="14" t="str">
        <f ca="1">Start.listina!L125</f>
        <v xml:space="preserve"> </v>
      </c>
      <c r="F461" s="14"/>
      <c r="G461" s="121" t="str">
        <f ca="1">IF(N(A461)&gt;0,VLOOKUP(A461,Body!$A$4:$F$259,5,0),"")</f>
        <v/>
      </c>
      <c r="H461" s="7" t="str">
        <f ca="1">IF(N(A461)&gt;0,VLOOKUP(A461,Body!$A$4:$F$259,6,0),"")</f>
        <v/>
      </c>
      <c r="I461" s="7" t="str">
        <f ca="1">IF(N(A461)&gt;0,VLOOKUP(A461,Body!$A$4:$F$259,2,0),"")</f>
        <v/>
      </c>
    </row>
    <row r="462" spans="1:9">
      <c r="A462" s="14"/>
      <c r="B462" s="14" t="str">
        <f ca="1">Start.listina!O125</f>
        <v/>
      </c>
      <c r="C462" s="14" t="str">
        <f ca="1">Start.listina!P125</f>
        <v xml:space="preserve"> </v>
      </c>
      <c r="D462" s="14" t="str">
        <f ca="1">Start.listina!Q125</f>
        <v xml:space="preserve"> </v>
      </c>
      <c r="E462" s="14" t="str">
        <f ca="1">Start.listina!R125</f>
        <v xml:space="preserve"> </v>
      </c>
      <c r="F462" s="14"/>
      <c r="G462" s="121"/>
      <c r="H462" s="7"/>
      <c r="I462" s="7"/>
    </row>
    <row r="463" spans="1:9">
      <c r="A463" s="14"/>
      <c r="B463" s="14" t="str">
        <f ca="1">Start.listina!U125</f>
        <v/>
      </c>
      <c r="C463" s="14" t="str">
        <f ca="1">Start.listina!V125</f>
        <v xml:space="preserve"> </v>
      </c>
      <c r="D463" s="14" t="str">
        <f ca="1">Start.listina!W125</f>
        <v xml:space="preserve"> </v>
      </c>
      <c r="E463" s="14" t="str">
        <f ca="1">Start.listina!X125</f>
        <v xml:space="preserve"> </v>
      </c>
      <c r="F463" s="14"/>
      <c r="G463" s="121"/>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21"/>
      <c r="H464" s="7"/>
      <c r="I464" s="7"/>
    </row>
    <row r="465" spans="1:9">
      <c r="A465" s="14">
        <f ca="1">Start.listina!AH126</f>
        <v>0</v>
      </c>
      <c r="B465" s="14" t="str">
        <f ca="1">Start.listina!I126</f>
        <v/>
      </c>
      <c r="C465" s="227" t="str">
        <f ca="1">Start.listina!J126</f>
        <v xml:space="preserve"> </v>
      </c>
      <c r="D465" s="14" t="str">
        <f ca="1">Start.listina!K126</f>
        <v xml:space="preserve"> </v>
      </c>
      <c r="E465" s="14" t="str">
        <f ca="1">Start.listina!L126</f>
        <v xml:space="preserve"> </v>
      </c>
      <c r="F465" s="14"/>
      <c r="G465" s="121" t="str">
        <f ca="1">IF(N(A465)&gt;0,VLOOKUP(A465,Body!$A$4:$F$259,5,0),"")</f>
        <v/>
      </c>
      <c r="H465" s="7" t="str">
        <f ca="1">IF(N(A465)&gt;0,VLOOKUP(A465,Body!$A$4:$F$259,6,0),"")</f>
        <v/>
      </c>
      <c r="I465" s="7" t="str">
        <f ca="1">IF(N(A465)&gt;0,VLOOKUP(A465,Body!$A$4:$F$259,2,0),"")</f>
        <v/>
      </c>
    </row>
    <row r="466" spans="1:9">
      <c r="A466" s="14"/>
      <c r="B466" s="14" t="str">
        <f ca="1">Start.listina!O126</f>
        <v/>
      </c>
      <c r="C466" s="14" t="str">
        <f ca="1">Start.listina!P126</f>
        <v xml:space="preserve"> </v>
      </c>
      <c r="D466" s="14" t="str">
        <f ca="1">Start.listina!Q126</f>
        <v xml:space="preserve"> </v>
      </c>
      <c r="E466" s="14" t="str">
        <f ca="1">Start.listina!R126</f>
        <v xml:space="preserve"> </v>
      </c>
      <c r="F466" s="14"/>
      <c r="G466" s="121"/>
      <c r="H466" s="7"/>
      <c r="I466" s="7"/>
    </row>
    <row r="467" spans="1:9">
      <c r="A467" s="14"/>
      <c r="B467" s="14" t="str">
        <f ca="1">Start.listina!U126</f>
        <v/>
      </c>
      <c r="C467" s="14" t="str">
        <f ca="1">Start.listina!V126</f>
        <v xml:space="preserve"> </v>
      </c>
      <c r="D467" s="14" t="str">
        <f ca="1">Start.listina!W126</f>
        <v xml:space="preserve"> </v>
      </c>
      <c r="E467" s="14" t="str">
        <f ca="1">Start.listina!X126</f>
        <v xml:space="preserve"> </v>
      </c>
      <c r="F467" s="14"/>
      <c r="G467" s="121"/>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21"/>
      <c r="H468" s="7"/>
      <c r="I468" s="7"/>
    </row>
    <row r="469" spans="1:9">
      <c r="A469" s="14">
        <f ca="1">Start.listina!AH127</f>
        <v>0</v>
      </c>
      <c r="B469" s="14" t="str">
        <f ca="1">Start.listina!I127</f>
        <v/>
      </c>
      <c r="C469" s="227" t="str">
        <f ca="1">Start.listina!J127</f>
        <v xml:space="preserve"> </v>
      </c>
      <c r="D469" s="14" t="str">
        <f ca="1">Start.listina!K127</f>
        <v xml:space="preserve"> </v>
      </c>
      <c r="E469" s="14" t="str">
        <f ca="1">Start.listina!L127</f>
        <v xml:space="preserve"> </v>
      </c>
      <c r="F469" s="14"/>
      <c r="G469" s="121" t="str">
        <f ca="1">IF(N(A469)&gt;0,VLOOKUP(A469,Body!$A$4:$F$259,5,0),"")</f>
        <v/>
      </c>
      <c r="H469" s="7" t="str">
        <f ca="1">IF(N(A469)&gt;0,VLOOKUP(A469,Body!$A$4:$F$259,6,0),"")</f>
        <v/>
      </c>
      <c r="I469" s="7" t="str">
        <f ca="1">IF(N(A469)&gt;0,VLOOKUP(A469,Body!$A$4:$F$259,2,0),"")</f>
        <v/>
      </c>
    </row>
    <row r="470" spans="1:9">
      <c r="A470" s="14"/>
      <c r="B470" s="14" t="str">
        <f ca="1">Start.listina!O127</f>
        <v/>
      </c>
      <c r="C470" s="14" t="str">
        <f ca="1">Start.listina!P127</f>
        <v xml:space="preserve"> </v>
      </c>
      <c r="D470" s="14" t="str">
        <f ca="1">Start.listina!Q127</f>
        <v xml:space="preserve"> </v>
      </c>
      <c r="E470" s="14" t="str">
        <f ca="1">Start.listina!R127</f>
        <v xml:space="preserve"> </v>
      </c>
      <c r="F470" s="14"/>
      <c r="G470" s="121"/>
      <c r="H470" s="7"/>
      <c r="I470" s="7"/>
    </row>
    <row r="471" spans="1:9">
      <c r="A471" s="14"/>
      <c r="B471" s="14" t="str">
        <f ca="1">Start.listina!U127</f>
        <v/>
      </c>
      <c r="C471" s="14" t="str">
        <f ca="1">Start.listina!V127</f>
        <v xml:space="preserve"> </v>
      </c>
      <c r="D471" s="14" t="str">
        <f ca="1">Start.listina!W127</f>
        <v xml:space="preserve"> </v>
      </c>
      <c r="E471" s="14" t="str">
        <f ca="1">Start.listina!X127</f>
        <v xml:space="preserve"> </v>
      </c>
      <c r="F471" s="14"/>
      <c r="G471" s="121"/>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21"/>
      <c r="H472" s="7"/>
      <c r="I472" s="7"/>
    </row>
    <row r="473" spans="1:9">
      <c r="A473" s="14">
        <f ca="1">Start.listina!AH128</f>
        <v>0</v>
      </c>
      <c r="B473" s="14" t="str">
        <f ca="1">Start.listina!I128</f>
        <v/>
      </c>
      <c r="C473" s="227" t="str">
        <f ca="1">Start.listina!J128</f>
        <v xml:space="preserve"> </v>
      </c>
      <c r="D473" s="14" t="str">
        <f ca="1">Start.listina!K128</f>
        <v xml:space="preserve"> </v>
      </c>
      <c r="E473" s="14" t="str">
        <f ca="1">Start.listina!L128</f>
        <v xml:space="preserve"> </v>
      </c>
      <c r="F473" s="14"/>
      <c r="G473" s="121" t="str">
        <f ca="1">IF(N(A473)&gt;0,VLOOKUP(A473,Body!$A$4:$F$259,5,0),"")</f>
        <v/>
      </c>
      <c r="H473" s="7" t="str">
        <f ca="1">IF(N(A473)&gt;0,VLOOKUP(A473,Body!$A$4:$F$259,6,0),"")</f>
        <v/>
      </c>
      <c r="I473" s="7" t="str">
        <f ca="1">IF(N(A473)&gt;0,VLOOKUP(A473,Body!$A$4:$F$259,2,0),"")</f>
        <v/>
      </c>
    </row>
    <row r="474" spans="1:9">
      <c r="A474" s="14"/>
      <c r="B474" s="14" t="str">
        <f ca="1">Start.listina!O128</f>
        <v/>
      </c>
      <c r="C474" s="14" t="str">
        <f ca="1">Start.listina!P128</f>
        <v xml:space="preserve"> </v>
      </c>
      <c r="D474" s="14" t="str">
        <f ca="1">Start.listina!Q128</f>
        <v xml:space="preserve"> </v>
      </c>
      <c r="E474" s="14" t="str">
        <f ca="1">Start.listina!R128</f>
        <v xml:space="preserve"> </v>
      </c>
      <c r="F474" s="14"/>
      <c r="G474" s="121"/>
      <c r="H474" s="7"/>
      <c r="I474" s="7"/>
    </row>
    <row r="475" spans="1:9">
      <c r="A475" s="14"/>
      <c r="B475" s="14" t="str">
        <f ca="1">Start.listina!U128</f>
        <v/>
      </c>
      <c r="C475" s="14" t="str">
        <f ca="1">Start.listina!V128</f>
        <v xml:space="preserve"> </v>
      </c>
      <c r="D475" s="14" t="str">
        <f ca="1">Start.listina!W128</f>
        <v xml:space="preserve"> </v>
      </c>
      <c r="E475" s="14" t="str">
        <f ca="1">Start.listina!X128</f>
        <v xml:space="preserve"> </v>
      </c>
      <c r="F475" s="14"/>
      <c r="G475" s="121"/>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21"/>
      <c r="H476" s="7"/>
      <c r="I476" s="7"/>
    </row>
    <row r="477" spans="1:9">
      <c r="A477" s="14">
        <f ca="1">Start.listina!AH129</f>
        <v>0</v>
      </c>
      <c r="B477" s="14" t="str">
        <f ca="1">Start.listina!I129</f>
        <v/>
      </c>
      <c r="C477" s="227" t="str">
        <f ca="1">Start.listina!J129</f>
        <v xml:space="preserve"> </v>
      </c>
      <c r="D477" s="14" t="str">
        <f ca="1">Start.listina!K129</f>
        <v xml:space="preserve"> </v>
      </c>
      <c r="E477" s="14" t="str">
        <f ca="1">Start.listina!L129</f>
        <v xml:space="preserve"> </v>
      </c>
      <c r="F477" s="14"/>
      <c r="G477" s="121" t="str">
        <f ca="1">IF(N(A477)&gt;0,VLOOKUP(A477,Body!$A$4:$F$259,5,0),"")</f>
        <v/>
      </c>
      <c r="H477" s="7" t="str">
        <f ca="1">IF(N(A477)&gt;0,VLOOKUP(A477,Body!$A$4:$F$259,6,0),"")</f>
        <v/>
      </c>
      <c r="I477" s="7" t="str">
        <f ca="1">IF(N(A477)&gt;0,VLOOKUP(A477,Body!$A$4:$F$259,2,0),"")</f>
        <v/>
      </c>
    </row>
    <row r="478" spans="1:9">
      <c r="A478" s="14"/>
      <c r="B478" s="14" t="str">
        <f ca="1">Start.listina!O129</f>
        <v/>
      </c>
      <c r="C478" s="14" t="str">
        <f ca="1">Start.listina!P129</f>
        <v xml:space="preserve"> </v>
      </c>
      <c r="D478" s="14" t="str">
        <f ca="1">Start.listina!Q129</f>
        <v xml:space="preserve"> </v>
      </c>
      <c r="E478" s="14" t="str">
        <f ca="1">Start.listina!R129</f>
        <v xml:space="preserve"> </v>
      </c>
      <c r="F478" s="14"/>
      <c r="G478" s="121"/>
      <c r="H478" s="7"/>
      <c r="I478" s="7"/>
    </row>
    <row r="479" spans="1:9">
      <c r="A479" s="14"/>
      <c r="B479" s="14" t="str">
        <f ca="1">Start.listina!U129</f>
        <v/>
      </c>
      <c r="C479" s="14" t="str">
        <f ca="1">Start.listina!V129</f>
        <v xml:space="preserve"> </v>
      </c>
      <c r="D479" s="14" t="str">
        <f ca="1">Start.listina!W129</f>
        <v xml:space="preserve"> </v>
      </c>
      <c r="E479" s="14" t="str">
        <f ca="1">Start.listina!X129</f>
        <v xml:space="preserve"> </v>
      </c>
      <c r="F479" s="14"/>
      <c r="G479" s="121"/>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21"/>
      <c r="H480" s="7"/>
      <c r="I480" s="7"/>
    </row>
    <row r="481" spans="1:9">
      <c r="A481" s="14">
        <f ca="1">Start.listina!AH130</f>
        <v>0</v>
      </c>
      <c r="B481" s="14" t="str">
        <f ca="1">Start.listina!I130</f>
        <v/>
      </c>
      <c r="C481" s="227" t="str">
        <f ca="1">Start.listina!J130</f>
        <v xml:space="preserve"> </v>
      </c>
      <c r="D481" s="14" t="str">
        <f ca="1">Start.listina!K130</f>
        <v xml:space="preserve"> </v>
      </c>
      <c r="E481" s="14" t="str">
        <f ca="1">Start.listina!L130</f>
        <v xml:space="preserve"> </v>
      </c>
      <c r="F481" s="14"/>
      <c r="G481" s="121" t="str">
        <f ca="1">IF(N(A481)&gt;0,VLOOKUP(A481,Body!$A$4:$F$259,5,0),"")</f>
        <v/>
      </c>
      <c r="H481" s="7" t="str">
        <f ca="1">IF(N(A481)&gt;0,VLOOKUP(A481,Body!$A$4:$F$259,6,0),"")</f>
        <v/>
      </c>
      <c r="I481" s="7" t="str">
        <f ca="1">IF(N(A481)&gt;0,VLOOKUP(A481,Body!$A$4:$F$259,2,0),"")</f>
        <v/>
      </c>
    </row>
    <row r="482" spans="1:9">
      <c r="A482" s="14"/>
      <c r="B482" s="14" t="str">
        <f ca="1">Start.listina!O130</f>
        <v/>
      </c>
      <c r="C482" s="14" t="str">
        <f ca="1">Start.listina!P130</f>
        <v xml:space="preserve"> </v>
      </c>
      <c r="D482" s="14" t="str">
        <f ca="1">Start.listina!Q130</f>
        <v xml:space="preserve"> </v>
      </c>
      <c r="E482" s="14" t="str">
        <f ca="1">Start.listina!R130</f>
        <v xml:space="preserve"> </v>
      </c>
      <c r="F482" s="14"/>
      <c r="G482" s="121"/>
      <c r="H482" s="7"/>
      <c r="I482" s="7"/>
    </row>
    <row r="483" spans="1:9">
      <c r="A483" s="14"/>
      <c r="B483" s="14" t="str">
        <f ca="1">Start.listina!U130</f>
        <v/>
      </c>
      <c r="C483" s="14" t="str">
        <f ca="1">Start.listina!V130</f>
        <v xml:space="preserve"> </v>
      </c>
      <c r="D483" s="14" t="str">
        <f ca="1">Start.listina!W130</f>
        <v xml:space="preserve"> </v>
      </c>
      <c r="E483" s="14" t="str">
        <f ca="1">Start.listina!X130</f>
        <v xml:space="preserve"> </v>
      </c>
      <c r="F483" s="14"/>
      <c r="G483" s="121"/>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21"/>
      <c r="H484" s="7"/>
      <c r="I484" s="7"/>
    </row>
    <row r="485" spans="1:9">
      <c r="A485" s="14">
        <f ca="1">Start.listina!AH131</f>
        <v>0</v>
      </c>
      <c r="B485" s="14" t="str">
        <f ca="1">Start.listina!I131</f>
        <v/>
      </c>
      <c r="C485" s="227" t="str">
        <f ca="1">Start.listina!J131</f>
        <v xml:space="preserve"> </v>
      </c>
      <c r="D485" s="14" t="str">
        <f ca="1">Start.listina!K131</f>
        <v xml:space="preserve"> </v>
      </c>
      <c r="E485" s="14" t="str">
        <f ca="1">Start.listina!L131</f>
        <v xml:space="preserve"> </v>
      </c>
      <c r="F485" s="14"/>
      <c r="G485" s="121" t="str">
        <f ca="1">IF(N(A485)&gt;0,VLOOKUP(A485,Body!$A$4:$F$259,5,0),"")</f>
        <v/>
      </c>
      <c r="H485" s="7" t="str">
        <f ca="1">IF(N(A485)&gt;0,VLOOKUP(A485,Body!$A$4:$F$259,6,0),"")</f>
        <v/>
      </c>
      <c r="I485" s="7" t="str">
        <f ca="1">IF(N(A485)&gt;0,VLOOKUP(A485,Body!$A$4:$F$259,2,0),"")</f>
        <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21"/>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21"/>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1"/>
      <c r="H488" s="7"/>
      <c r="I488" s="7"/>
    </row>
    <row r="489" spans="1:9">
      <c r="A489" s="14">
        <f ca="1">Start.listina!AH132</f>
        <v>0</v>
      </c>
      <c r="B489" s="14" t="str">
        <f ca="1">Start.listina!I132</f>
        <v/>
      </c>
      <c r="C489" s="227" t="str">
        <f ca="1">Start.listina!J132</f>
        <v xml:space="preserve"> </v>
      </c>
      <c r="D489" s="14" t="str">
        <f ca="1">Start.listina!K132</f>
        <v xml:space="preserve"> </v>
      </c>
      <c r="E489" s="14" t="str">
        <f ca="1">Start.listina!L132</f>
        <v xml:space="preserve"> </v>
      </c>
      <c r="F489" s="14"/>
      <c r="G489" s="121" t="str">
        <f ca="1">IF(N(A489)&gt;0,VLOOKUP(A489,Body!$A$4:$F$259,5,0),"")</f>
        <v/>
      </c>
      <c r="H489" s="7" t="str">
        <f ca="1">IF(N(A489)&gt;0,VLOOKUP(A489,Body!$A$4:$F$259,6,0),"")</f>
        <v/>
      </c>
      <c r="I489" s="7" t="str">
        <f ca="1">IF(N(A489)&gt;0,VLOOKUP(A489,Body!$A$4:$F$259,2,0),"")</f>
        <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21"/>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21"/>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1"/>
      <c r="H492" s="7"/>
      <c r="I492" s="7"/>
    </row>
    <row r="493" spans="1:9">
      <c r="A493" s="14">
        <f ca="1">Start.listina!AH133</f>
        <v>0</v>
      </c>
      <c r="B493" s="14" t="str">
        <f ca="1">Start.listina!I133</f>
        <v/>
      </c>
      <c r="C493" s="227" t="str">
        <f ca="1">Start.listina!J133</f>
        <v xml:space="preserve"> </v>
      </c>
      <c r="D493" s="14" t="str">
        <f ca="1">Start.listina!K133</f>
        <v xml:space="preserve"> </v>
      </c>
      <c r="E493" s="14" t="str">
        <f ca="1">Start.listina!L133</f>
        <v xml:space="preserve"> </v>
      </c>
      <c r="F493" s="14"/>
      <c r="G493" s="121" t="str">
        <f ca="1">IF(N(A493)&gt;0,VLOOKUP(A493,Body!$A$4:$F$259,5,0),"")</f>
        <v/>
      </c>
      <c r="H493" s="7" t="str">
        <f ca="1">IF(N(A493)&gt;0,VLOOKUP(A493,Body!$A$4:$F$259,6,0),"")</f>
        <v/>
      </c>
      <c r="I493" s="7" t="str">
        <f ca="1">IF(N(A493)&gt;0,VLOOKUP(A493,Body!$A$4:$F$259,2,0),"")</f>
        <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21"/>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21"/>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1"/>
      <c r="H496" s="7"/>
      <c r="I496" s="7"/>
    </row>
    <row r="497" spans="1:9">
      <c r="A497" s="14">
        <f ca="1">Start.listina!AH134</f>
        <v>0</v>
      </c>
      <c r="B497" s="14" t="str">
        <f ca="1">Start.listina!I134</f>
        <v/>
      </c>
      <c r="C497" s="227" t="str">
        <f ca="1">Start.listina!J134</f>
        <v xml:space="preserve"> </v>
      </c>
      <c r="D497" s="14" t="str">
        <f ca="1">Start.listina!K134</f>
        <v xml:space="preserve"> </v>
      </c>
      <c r="E497" s="14" t="str">
        <f ca="1">Start.listina!L134</f>
        <v xml:space="preserve"> </v>
      </c>
      <c r="F497" s="14"/>
      <c r="G497" s="121" t="str">
        <f ca="1">IF(N(A497)&gt;0,VLOOKUP(A497,Body!$A$4:$F$259,5,0),"")</f>
        <v/>
      </c>
      <c r="H497" s="7" t="str">
        <f ca="1">IF(N(A497)&gt;0,VLOOKUP(A497,Body!$A$4:$F$259,6,0),"")</f>
        <v/>
      </c>
      <c r="I497" s="7" t="str">
        <f ca="1">IF(N(A497)&gt;0,VLOOKUP(A497,Body!$A$4:$F$259,2,0),"")</f>
        <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21"/>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21"/>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1"/>
      <c r="H500" s="7"/>
      <c r="I500" s="7"/>
    </row>
    <row r="501" spans="1:9">
      <c r="A501" s="14">
        <f ca="1">Start.listina!AH135</f>
        <v>0</v>
      </c>
      <c r="B501" s="14" t="str">
        <f ca="1">Start.listina!I135</f>
        <v/>
      </c>
      <c r="C501" s="227" t="str">
        <f ca="1">Start.listina!J135</f>
        <v xml:space="preserve"> </v>
      </c>
      <c r="D501" s="14" t="str">
        <f ca="1">Start.listina!K135</f>
        <v xml:space="preserve"> </v>
      </c>
      <c r="E501" s="14" t="str">
        <f ca="1">Start.listina!L135</f>
        <v xml:space="preserve"> </v>
      </c>
      <c r="F501" s="14"/>
      <c r="G501" s="121" t="str">
        <f ca="1">IF(N(A501)&gt;0,VLOOKUP(A501,Body!$A$4:$F$259,5,0),"")</f>
        <v/>
      </c>
      <c r="H501" s="7" t="str">
        <f ca="1">IF(N(A501)&gt;0,VLOOKUP(A501,Body!$A$4:$F$259,6,0),"")</f>
        <v/>
      </c>
      <c r="I501" s="7" t="str">
        <f ca="1">IF(N(A501)&gt;0,VLOOKUP(A501,Body!$A$4:$F$259,2,0),"")</f>
        <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21"/>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21"/>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1"/>
      <c r="H504" s="7"/>
      <c r="I504" s="7"/>
    </row>
    <row r="505" spans="1:9">
      <c r="A505" s="14">
        <f ca="1">Start.listina!AH136</f>
        <v>0</v>
      </c>
      <c r="B505" s="14" t="str">
        <f ca="1">Start.listina!I136</f>
        <v/>
      </c>
      <c r="C505" s="227" t="str">
        <f ca="1">Start.listina!J136</f>
        <v xml:space="preserve"> </v>
      </c>
      <c r="D505" s="14" t="str">
        <f ca="1">Start.listina!K136</f>
        <v xml:space="preserve"> </v>
      </c>
      <c r="E505" s="14" t="str">
        <f ca="1">Start.listina!L136</f>
        <v xml:space="preserve"> </v>
      </c>
      <c r="F505" s="14"/>
      <c r="G505" s="121" t="str">
        <f ca="1">IF(N(A505)&gt;0,VLOOKUP(A505,Body!$A$4:$F$259,5,0),"")</f>
        <v/>
      </c>
      <c r="H505" s="7" t="str">
        <f ca="1">IF(N(A505)&gt;0,VLOOKUP(A505,Body!$A$4:$F$259,6,0),"")</f>
        <v/>
      </c>
      <c r="I505" s="7" t="str">
        <f ca="1">IF(N(A505)&gt;0,VLOOKUP(A505,Body!$A$4:$F$259,2,0),"")</f>
        <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21"/>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21"/>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1"/>
      <c r="H508" s="7"/>
      <c r="I508" s="7"/>
    </row>
    <row r="509" spans="1:9">
      <c r="A509" s="14">
        <f ca="1">Start.listina!AH137</f>
        <v>0</v>
      </c>
      <c r="B509" s="14" t="str">
        <f ca="1">Start.listina!I137</f>
        <v/>
      </c>
      <c r="C509" s="227" t="str">
        <f ca="1">Start.listina!J137</f>
        <v xml:space="preserve"> </v>
      </c>
      <c r="D509" s="14" t="str">
        <f ca="1">Start.listina!K137</f>
        <v xml:space="preserve"> </v>
      </c>
      <c r="E509" s="14" t="str">
        <f ca="1">Start.listina!L137</f>
        <v xml:space="preserve"> </v>
      </c>
      <c r="F509" s="14"/>
      <c r="G509" s="121" t="str">
        <f ca="1">IF(N(A509)&gt;0,VLOOKUP(A509,Body!$A$4:$F$259,5,0),"")</f>
        <v/>
      </c>
      <c r="H509" s="7" t="str">
        <f ca="1">IF(N(A509)&gt;0,VLOOKUP(A509,Body!$A$4:$F$259,6,0),"")</f>
        <v/>
      </c>
      <c r="I509" s="7" t="str">
        <f ca="1">IF(N(A509)&gt;0,VLOOKUP(A509,Body!$A$4:$F$259,2,0),"")</f>
        <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21"/>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21"/>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1"/>
      <c r="H512" s="7"/>
      <c r="I512" s="7"/>
    </row>
    <row r="513" spans="1:9">
      <c r="A513" s="14">
        <f ca="1">Start.listina!AH138</f>
        <v>0</v>
      </c>
      <c r="B513" s="14" t="str">
        <f ca="1">Start.listina!I138</f>
        <v/>
      </c>
      <c r="C513" s="227" t="str">
        <f ca="1">Start.listina!J138</f>
        <v xml:space="preserve"> </v>
      </c>
      <c r="D513" s="14" t="str">
        <f ca="1">Start.listina!K138</f>
        <v xml:space="preserve"> </v>
      </c>
      <c r="E513" s="14" t="str">
        <f ca="1">Start.listina!L138</f>
        <v xml:space="preserve"> </v>
      </c>
      <c r="F513" s="14"/>
      <c r="G513" s="121" t="str">
        <f ca="1">IF(N(A513)&gt;0,VLOOKUP(A513,Body!$A$4:$F$259,5,0),"")</f>
        <v/>
      </c>
      <c r="H513" s="7" t="str">
        <f ca="1">IF(N(A513)&gt;0,VLOOKUP(A513,Body!$A$4:$F$259,6,0),"")</f>
        <v/>
      </c>
      <c r="I513" s="7" t="str">
        <f ca="1">IF(N(A513)&gt;0,VLOOKUP(A513,Body!$A$4:$F$259,2,0),"")</f>
        <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21"/>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21"/>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1"/>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H11" sqref="H11"/>
    </sheetView>
  </sheetViews>
  <sheetFormatPr defaultRowHeight="12"/>
  <cols>
    <col min="4" max="4" width="1.58203125" customWidth="1"/>
    <col min="5" max="5" width="114.25" customWidth="1"/>
    <col min="6" max="6" width="13.25" customWidth="1"/>
    <col min="8" max="8" width="11.4140625" customWidth="1"/>
  </cols>
  <sheetData>
    <row r="1" spans="1:5" ht="12.45" thickBot="1"/>
    <row r="2" spans="1:5" ht="25.75" thickBot="1">
      <c r="B2" s="475" t="s">
        <v>469</v>
      </c>
      <c r="C2" s="476"/>
      <c r="D2" s="476"/>
      <c r="E2" s="477"/>
    </row>
    <row r="3" spans="1:5">
      <c r="C3" s="162" t="s">
        <v>470</v>
      </c>
      <c r="E3" t="s">
        <v>1837</v>
      </c>
    </row>
    <row r="5" spans="1:5" ht="15.45">
      <c r="B5" s="478" t="s">
        <v>471</v>
      </c>
    </row>
    <row r="6" spans="1:5">
      <c r="C6" s="162" t="s">
        <v>472</v>
      </c>
      <c r="E6" s="318" t="s">
        <v>2118</v>
      </c>
    </row>
    <row r="7" spans="1:5" ht="15.45">
      <c r="A7" s="162"/>
      <c r="C7" s="162" t="s">
        <v>473</v>
      </c>
      <c r="E7" s="479" t="s">
        <v>1837</v>
      </c>
    </row>
    <row r="8" spans="1:5" ht="15.45">
      <c r="A8" s="162"/>
      <c r="C8" s="162" t="s">
        <v>474</v>
      </c>
      <c r="E8" s="480" t="s">
        <v>2119</v>
      </c>
    </row>
    <row r="9" spans="1:5">
      <c r="C9" s="162" t="s">
        <v>475</v>
      </c>
      <c r="E9" s="318" t="s">
        <v>2120</v>
      </c>
    </row>
    <row r="10" spans="1:5" ht="15.45">
      <c r="C10" s="162" t="s">
        <v>476</v>
      </c>
      <c r="E10" s="481" t="s">
        <v>2121</v>
      </c>
    </row>
    <row r="11" spans="1:5">
      <c r="C11" s="162" t="s">
        <v>477</v>
      </c>
      <c r="E11" s="318" t="s">
        <v>2122</v>
      </c>
    </row>
    <row r="12" spans="1:5">
      <c r="C12" s="162" t="s">
        <v>478</v>
      </c>
      <c r="E12" s="318" t="s">
        <v>2123</v>
      </c>
    </row>
    <row r="13" spans="1:5">
      <c r="C13" s="162" t="s">
        <v>479</v>
      </c>
      <c r="E13" s="497">
        <v>0.33333333333333331</v>
      </c>
    </row>
    <row r="14" spans="1:5">
      <c r="C14" s="162" t="s">
        <v>480</v>
      </c>
      <c r="E14" s="497">
        <v>0.36458333333333331</v>
      </c>
    </row>
    <row r="15" spans="1:5">
      <c r="C15" s="162" t="s">
        <v>481</v>
      </c>
      <c r="E15" s="497">
        <v>0.38541666666666669</v>
      </c>
    </row>
    <row r="16" spans="1:5">
      <c r="C16" s="162" t="s">
        <v>482</v>
      </c>
      <c r="E16" s="497">
        <v>0.90277777777777779</v>
      </c>
    </row>
    <row r="17" spans="3:5">
      <c r="C17" s="162" t="s">
        <v>483</v>
      </c>
      <c r="E17" s="318">
        <v>29</v>
      </c>
    </row>
    <row r="18" spans="3:5">
      <c r="C18" s="162" t="s">
        <v>484</v>
      </c>
      <c r="E18" s="318" t="s">
        <v>2124</v>
      </c>
    </row>
    <row r="19" spans="3:5">
      <c r="C19" s="162" t="s">
        <v>485</v>
      </c>
      <c r="E19" s="318" t="s">
        <v>2125</v>
      </c>
    </row>
    <row r="20" spans="3:5">
      <c r="C20" s="162" t="s">
        <v>493</v>
      </c>
      <c r="E20" s="318" t="s">
        <v>2126</v>
      </c>
    </row>
    <row r="21" spans="3:5">
      <c r="C21" s="162"/>
      <c r="E21" s="318"/>
    </row>
    <row r="22" spans="3:5">
      <c r="C22" s="162" t="s">
        <v>486</v>
      </c>
      <c r="E22" s="318" t="s">
        <v>2127</v>
      </c>
    </row>
    <row r="23" spans="3:5">
      <c r="C23" s="162"/>
      <c r="E23" s="318"/>
    </row>
    <row r="24" spans="3:5">
      <c r="C24" s="162" t="s">
        <v>487</v>
      </c>
      <c r="E24" s="318" t="s">
        <v>2127</v>
      </c>
    </row>
    <row r="25" spans="3:5">
      <c r="C25" s="162"/>
      <c r="E25" s="318"/>
    </row>
    <row r="26" spans="3:5" ht="156">
      <c r="C26" s="162" t="s">
        <v>488</v>
      </c>
      <c r="E26" s="498" t="s">
        <v>2130</v>
      </c>
    </row>
    <row r="27" spans="3:5">
      <c r="C27" s="162"/>
      <c r="E27" s="318"/>
    </row>
    <row r="28" spans="3:5">
      <c r="C28" s="162" t="s">
        <v>489</v>
      </c>
      <c r="E28" s="318" t="s">
        <v>2128</v>
      </c>
    </row>
    <row r="29" spans="3:5">
      <c r="C29" s="162"/>
      <c r="E29" s="318"/>
    </row>
    <row r="30" spans="3:5">
      <c r="C30" s="162" t="s">
        <v>490</v>
      </c>
      <c r="E30" s="318" t="s">
        <v>2129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4"/>
  <dimension ref="A1:G556"/>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
  <cols>
    <col min="1" max="1" width="8.83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c r="A1" s="8" t="s">
        <v>302</v>
      </c>
      <c r="B1" s="9"/>
      <c r="C1" s="9"/>
      <c r="D1" s="97"/>
      <c r="E1" s="7"/>
      <c r="F1" s="308">
        <f ca="1">F3/16</f>
        <v>38.074437500000002</v>
      </c>
      <c r="G1" s="7"/>
    </row>
    <row r="2" spans="1:7" ht="34.200000000000003" customHeight="1" thickBot="1">
      <c r="A2" s="115">
        <f>Start.listina!$K$2</f>
        <v>24010</v>
      </c>
      <c r="B2" s="113" t="str">
        <f>Start.listina!$K$4</f>
        <v>MČR 3x3</v>
      </c>
      <c r="C2" s="114"/>
      <c r="D2" s="114"/>
      <c r="E2" s="122"/>
      <c r="G2" s="7"/>
    </row>
    <row r="3" spans="1:7" ht="21.75" customHeight="1" thickBot="1">
      <c r="A3" s="7"/>
      <c r="B3" s="7"/>
      <c r="C3" s="7"/>
      <c r="D3" s="7"/>
      <c r="E3" s="13" t="s">
        <v>303</v>
      </c>
      <c r="F3" s="7">
        <f ca="1">SUM(F5:F20)</f>
        <v>609.19100000000003</v>
      </c>
      <c r="G3" s="7"/>
    </row>
    <row r="4" spans="1:7" ht="24.75" customHeight="1" thickBot="1">
      <c r="A4" s="102" t="s">
        <v>58</v>
      </c>
      <c r="B4" s="102" t="s">
        <v>129</v>
      </c>
      <c r="C4" s="102" t="s">
        <v>59</v>
      </c>
      <c r="D4" s="102" t="s">
        <v>60</v>
      </c>
      <c r="E4" s="103" t="s">
        <v>61</v>
      </c>
      <c r="F4" s="103" t="s">
        <v>301</v>
      </c>
      <c r="G4" s="7"/>
    </row>
    <row r="5" spans="1:7">
      <c r="A5" s="340">
        <f ca="1">Start.listina!I11</f>
        <v>21774</v>
      </c>
      <c r="B5" s="386" t="str">
        <f ca="1">Start.listina!J11</f>
        <v>Michálek</v>
      </c>
      <c r="C5" s="340" t="str">
        <f ca="1">Start.listina!K11</f>
        <v>Tomáš</v>
      </c>
      <c r="D5" s="340" t="str">
        <f ca="1">Start.listina!L11</f>
        <v>Carreau Brno</v>
      </c>
      <c r="E5" s="340">
        <f ca="1">Start.listina!M11</f>
        <v>6</v>
      </c>
      <c r="F5" s="340">
        <f ca="1">Start.listina!N11</f>
        <v>52</v>
      </c>
      <c r="G5" s="7"/>
    </row>
    <row r="6" spans="1:7">
      <c r="A6" s="340">
        <f ca="1">Start.listina!I12</f>
        <v>14075</v>
      </c>
      <c r="B6" s="386" t="str">
        <f ca="1">Start.listina!J12</f>
        <v>Froňková</v>
      </c>
      <c r="C6" s="340" t="str">
        <f ca="1">Start.listina!K12</f>
        <v>Kateřina</v>
      </c>
      <c r="D6" s="340" t="str">
        <f ca="1">Start.listina!L12</f>
        <v>PC Sokol Lipník</v>
      </c>
      <c r="E6" s="340">
        <f ca="1">Start.listina!M12</f>
        <v>10</v>
      </c>
      <c r="F6" s="340">
        <f ca="1">Start.listina!N12</f>
        <v>52</v>
      </c>
      <c r="G6" s="7"/>
    </row>
    <row r="7" spans="1:7">
      <c r="A7" s="340">
        <f ca="1">Start.listina!I13</f>
        <v>26075</v>
      </c>
      <c r="B7" s="386" t="str">
        <f ca="1">Start.listina!J13</f>
        <v>Konšel</v>
      </c>
      <c r="C7" s="340" t="str">
        <f ca="1">Start.listina!K13</f>
        <v>Jakub</v>
      </c>
      <c r="D7" s="340" t="str">
        <f ca="1">Start.listina!L13</f>
        <v>PC Sokol Lipník</v>
      </c>
      <c r="E7" s="340">
        <f ca="1">Start.listina!M13</f>
        <v>34</v>
      </c>
      <c r="F7" s="340">
        <f ca="1">Start.listina!N13</f>
        <v>34.375</v>
      </c>
      <c r="G7" s="7"/>
    </row>
    <row r="8" spans="1:7">
      <c r="A8" s="340">
        <f ca="1">Start.listina!I14</f>
        <v>22007</v>
      </c>
      <c r="B8" s="386" t="str">
        <f ca="1">Start.listina!J14</f>
        <v>Resl</v>
      </c>
      <c r="C8" s="340" t="str">
        <f ca="1">Start.listina!K14</f>
        <v>Jan</v>
      </c>
      <c r="D8" s="340" t="str">
        <f ca="1">Start.listina!L14</f>
        <v>CdP Loděnice</v>
      </c>
      <c r="E8" s="340">
        <f ca="1">Start.listina!M14</f>
        <v>14</v>
      </c>
      <c r="F8" s="340">
        <f ca="1">Start.listina!N14</f>
        <v>38.25</v>
      </c>
      <c r="G8" s="7"/>
    </row>
    <row r="9" spans="1:7">
      <c r="A9" s="340">
        <f ca="1">Start.listina!I15</f>
        <v>14008</v>
      </c>
      <c r="B9" s="386" t="str">
        <f ca="1">Start.listina!J15</f>
        <v>Bačo</v>
      </c>
      <c r="C9" s="340" t="str">
        <f ca="1">Start.listina!K15</f>
        <v>David</v>
      </c>
      <c r="D9" s="340" t="str">
        <f ca="1">Start.listina!L15</f>
        <v>TOP - ORLOVÁ</v>
      </c>
      <c r="E9" s="340">
        <f ca="1">Start.listina!M15</f>
        <v>20</v>
      </c>
      <c r="F9" s="340">
        <f ca="1">Start.listina!N15</f>
        <v>45</v>
      </c>
      <c r="G9" s="7"/>
    </row>
    <row r="10" spans="1:7">
      <c r="A10" s="340">
        <f ca="1">Start.listina!I16</f>
        <v>13027</v>
      </c>
      <c r="B10" s="386" t="str">
        <f ca="1">Start.listina!J16</f>
        <v>Dlouhá</v>
      </c>
      <c r="C10" s="340" t="str">
        <f ca="1">Start.listina!K16</f>
        <v>Ivana</v>
      </c>
      <c r="D10" s="340" t="str">
        <f ca="1">Start.listina!L16</f>
        <v>CdP Loděnice</v>
      </c>
      <c r="E10" s="340">
        <f ca="1">Start.listina!M16</f>
        <v>50</v>
      </c>
      <c r="F10" s="340">
        <f ca="1">Start.listina!N16</f>
        <v>43.5</v>
      </c>
      <c r="G10" s="7"/>
    </row>
    <row r="11" spans="1:7">
      <c r="A11" s="340">
        <f ca="1">Start.listina!I17</f>
        <v>19019</v>
      </c>
      <c r="B11" s="386" t="str">
        <f ca="1">Start.listina!J17</f>
        <v>Motl</v>
      </c>
      <c r="C11" s="340" t="str">
        <f ca="1">Start.listina!K17</f>
        <v>Bohuslav</v>
      </c>
      <c r="D11" s="340" t="str">
        <f ca="1">Start.listina!L17</f>
        <v>HRODE KRUMSÍN</v>
      </c>
      <c r="E11" s="340">
        <f ca="1">Start.listina!M17</f>
        <v>33</v>
      </c>
      <c r="F11" s="340">
        <f ca="1">Start.listina!N17</f>
        <v>34.938000000000002</v>
      </c>
      <c r="G11" s="7"/>
    </row>
    <row r="12" spans="1:7">
      <c r="A12" s="340">
        <f ca="1">Start.listina!I18</f>
        <v>15057</v>
      </c>
      <c r="B12" s="386" t="str">
        <f ca="1">Start.listina!J18</f>
        <v>Vedral</v>
      </c>
      <c r="C12" s="340" t="str">
        <f ca="1">Start.listina!K18</f>
        <v>Filip</v>
      </c>
      <c r="D12" s="340" t="str">
        <f ca="1">Start.listina!L18</f>
        <v>1. KPK Vrchlabí</v>
      </c>
      <c r="E12" s="340">
        <f ca="1">Start.listina!M18</f>
        <v>22</v>
      </c>
      <c r="F12" s="340">
        <f ca="1">Start.listina!N18</f>
        <v>39.5</v>
      </c>
      <c r="G12" s="7"/>
    </row>
    <row r="13" spans="1:7">
      <c r="A13" s="340">
        <f ca="1">Start.listina!I19</f>
        <v>17067</v>
      </c>
      <c r="B13" s="386" t="str">
        <f ca="1">Start.listina!J19</f>
        <v>Dudašková</v>
      </c>
      <c r="C13" s="340" t="str">
        <f ca="1">Start.listina!K19</f>
        <v>Michaela</v>
      </c>
      <c r="D13" s="340" t="str">
        <f ca="1">Start.listina!L19</f>
        <v>Carreau Brno</v>
      </c>
      <c r="E13" s="340">
        <f ca="1">Start.listina!M19</f>
        <v>81</v>
      </c>
      <c r="F13" s="340">
        <f ca="1">Start.listina!N19</f>
        <v>28.375</v>
      </c>
      <c r="G13" s="7"/>
    </row>
    <row r="14" spans="1:7">
      <c r="A14" s="340">
        <f ca="1">Start.listina!I20</f>
        <v>27030</v>
      </c>
      <c r="B14" s="386" t="str">
        <f ca="1">Start.listina!J20</f>
        <v>Kutá</v>
      </c>
      <c r="C14" s="340" t="str">
        <f ca="1">Start.listina!K20</f>
        <v>Miloslava</v>
      </c>
      <c r="D14" s="340" t="str">
        <f ca="1">Start.listina!L20</f>
        <v>SKP Hranice VI-Valšovice</v>
      </c>
      <c r="E14" s="340">
        <f ca="1">Start.listina!M20</f>
        <v>21</v>
      </c>
      <c r="F14" s="340">
        <f ca="1">Start.listina!N20</f>
        <v>39.25</v>
      </c>
      <c r="G14" s="7"/>
    </row>
    <row r="15" spans="1:7">
      <c r="A15" s="340">
        <f ca="1">Start.listina!I21</f>
        <v>22183</v>
      </c>
      <c r="B15" s="386" t="str">
        <f ca="1">Start.listina!J21</f>
        <v>Brandes</v>
      </c>
      <c r="C15" s="340" t="str">
        <f ca="1">Start.listina!K21</f>
        <v>Michael</v>
      </c>
      <c r="D15" s="340" t="str">
        <f ca="1">Start.listina!L21</f>
        <v>PC Damníkov</v>
      </c>
      <c r="E15" s="340">
        <f ca="1">Start.listina!M21</f>
        <v>59</v>
      </c>
      <c r="F15" s="340">
        <f ca="1">Start.listina!N21</f>
        <v>37.5</v>
      </c>
      <c r="G15" s="7"/>
    </row>
    <row r="16" spans="1:7">
      <c r="A16" s="340">
        <f ca="1">Start.listina!I22</f>
        <v>18136</v>
      </c>
      <c r="B16" s="386" t="str">
        <f ca="1">Start.listina!J22</f>
        <v>Hanák</v>
      </c>
      <c r="C16" s="340" t="str">
        <f ca="1">Start.listina!K22</f>
        <v>Pavel</v>
      </c>
      <c r="D16" s="340" t="str">
        <f ca="1">Start.listina!L22</f>
        <v>Orel Řečkovice</v>
      </c>
      <c r="E16" s="340">
        <f ca="1">Start.listina!M22</f>
        <v>42</v>
      </c>
      <c r="F16" s="340">
        <f ca="1">Start.listina!N22</f>
        <v>34.563000000000002</v>
      </c>
      <c r="G16" s="7"/>
    </row>
    <row r="17" spans="1:7">
      <c r="A17" s="340">
        <f ca="1">Start.listina!I23</f>
        <v>18065</v>
      </c>
      <c r="B17" s="386" t="str">
        <f ca="1">Start.listina!J23</f>
        <v>Valošek</v>
      </c>
      <c r="C17" s="340" t="str">
        <f ca="1">Start.listina!K23</f>
        <v>Radim</v>
      </c>
      <c r="D17" s="340" t="str">
        <f ca="1">Start.listina!L23</f>
        <v>PK Polouvsí</v>
      </c>
      <c r="E17" s="340">
        <f ca="1">Start.listina!M23</f>
        <v>68</v>
      </c>
      <c r="F17" s="340">
        <f ca="1">Start.listina!N23</f>
        <v>29.719000000000001</v>
      </c>
      <c r="G17" s="7"/>
    </row>
    <row r="18" spans="1:7">
      <c r="A18" s="340">
        <f ca="1">Start.listina!I24</f>
        <v>22105</v>
      </c>
      <c r="B18" s="386" t="str">
        <f ca="1">Start.listina!J24</f>
        <v>Geislerová</v>
      </c>
      <c r="C18" s="340" t="str">
        <f ca="1">Start.listina!K24</f>
        <v>Veronika</v>
      </c>
      <c r="D18" s="340" t="str">
        <f ca="1">Start.listina!L24</f>
        <v>PEK Stolín</v>
      </c>
      <c r="E18" s="340">
        <f ca="1">Start.listina!M24</f>
        <v>56</v>
      </c>
      <c r="F18" s="340">
        <f ca="1">Start.listina!N24</f>
        <v>36.750999999999998</v>
      </c>
      <c r="G18" s="7"/>
    </row>
    <row r="19" spans="1:7">
      <c r="A19" s="340">
        <f ca="1">Start.listina!I25</f>
        <v>96059</v>
      </c>
      <c r="B19" s="386" t="str">
        <f ca="1">Start.listina!J25</f>
        <v>Hančová</v>
      </c>
      <c r="C19" s="340" t="str">
        <f ca="1">Start.listina!K25</f>
        <v>Alice</v>
      </c>
      <c r="D19" s="340" t="str">
        <f ca="1">Start.listina!L25</f>
        <v>1. KPK Vrchlabí</v>
      </c>
      <c r="E19" s="340">
        <f ca="1">Start.listina!M25</f>
        <v>77</v>
      </c>
      <c r="F19" s="340">
        <f ca="1">Start.listina!N25</f>
        <v>32.25</v>
      </c>
      <c r="G19" s="7"/>
    </row>
    <row r="20" spans="1:7">
      <c r="A20" s="340">
        <f ca="1">Start.listina!I26</f>
        <v>13005</v>
      </c>
      <c r="B20" s="386" t="str">
        <f ca="1">Start.listina!J26</f>
        <v>Bureš st.</v>
      </c>
      <c r="C20" s="340" t="str">
        <f ca="1">Start.listina!K26</f>
        <v>Pavel</v>
      </c>
      <c r="D20" s="340" t="str">
        <f ca="1">Start.listina!L26</f>
        <v>HAPEK</v>
      </c>
      <c r="E20" s="340">
        <f ca="1">Start.listina!M26</f>
        <v>89</v>
      </c>
      <c r="F20" s="340">
        <f ca="1">Start.listina!N26</f>
        <v>31.22</v>
      </c>
      <c r="G20" s="7"/>
    </row>
    <row r="21" spans="1:7">
      <c r="A21" s="340">
        <f ca="1">Start.listina!I27</f>
        <v>99574</v>
      </c>
      <c r="B21" s="386" t="str">
        <f ca="1">Start.listina!J27</f>
        <v>Demčíková</v>
      </c>
      <c r="C21" s="340" t="str">
        <f ca="1">Start.listina!K27</f>
        <v>Jiřina</v>
      </c>
      <c r="D21" s="340" t="str">
        <f ca="1">Start.listina!L27</f>
        <v>SK Sahara Vědomice</v>
      </c>
      <c r="E21" s="340">
        <f ca="1">Start.listina!M27</f>
        <v>18</v>
      </c>
      <c r="F21" s="340">
        <f ca="1">Start.listina!N27</f>
        <v>44.75</v>
      </c>
      <c r="G21" s="7"/>
    </row>
    <row r="22" spans="1:7">
      <c r="A22" s="340">
        <f ca="1">Start.listina!I28</f>
        <v>26011</v>
      </c>
      <c r="B22" s="386" t="str">
        <f ca="1">Start.listina!J28</f>
        <v>Brázda</v>
      </c>
      <c r="C22" s="340" t="str">
        <f ca="1">Start.listina!K28</f>
        <v>Vladimír</v>
      </c>
      <c r="D22" s="340" t="str">
        <f ca="1">Start.listina!L28</f>
        <v>1. KPK Vrchlabí</v>
      </c>
      <c r="E22" s="340">
        <f ca="1">Start.listina!M28</f>
        <v>29</v>
      </c>
      <c r="F22" s="340">
        <f ca="1">Start.listina!N28</f>
        <v>39.5</v>
      </c>
      <c r="G22" s="7"/>
    </row>
    <row r="23" spans="1:7">
      <c r="A23" s="340">
        <f ca="1">Start.listina!I29</f>
        <v>25054</v>
      </c>
      <c r="B23" s="386" t="str">
        <f ca="1">Start.listina!J29</f>
        <v>Gratcl</v>
      </c>
      <c r="C23" s="340" t="str">
        <f ca="1">Start.listina!K29</f>
        <v>Jiří</v>
      </c>
      <c r="D23" s="340" t="str">
        <f ca="1">Start.listina!L29</f>
        <v>SKP Hranice VI-Valšovice</v>
      </c>
      <c r="E23" s="340">
        <f ca="1">Start.listina!M29</f>
        <v>100</v>
      </c>
      <c r="F23" s="340">
        <f ca="1">Start.listina!N29</f>
        <v>31.282</v>
      </c>
      <c r="G23" s="7"/>
    </row>
    <row r="24" spans="1:7">
      <c r="A24" s="340">
        <f ca="1">Start.listina!I30</f>
        <v>23236</v>
      </c>
      <c r="B24" s="386" t="str">
        <f ca="1">Start.listina!J30</f>
        <v>Pellizon</v>
      </c>
      <c r="C24" s="340" t="str">
        <f ca="1">Start.listina!K30</f>
        <v>Boris Alfred</v>
      </c>
      <c r="D24" s="340" t="str">
        <f ca="1">Start.listina!L30</f>
        <v>Carreau Brno</v>
      </c>
      <c r="E24" s="340">
        <f ca="1">Start.listina!M30</f>
        <v>149</v>
      </c>
      <c r="F24" s="340">
        <f ca="1">Start.listina!N30</f>
        <v>22.687999999999999</v>
      </c>
      <c r="G24" s="7"/>
    </row>
    <row r="25" spans="1:7">
      <c r="A25" s="340">
        <f ca="1">Start.listina!I31</f>
        <v>22017</v>
      </c>
      <c r="B25" s="386" t="str">
        <f ca="1">Start.listina!J31</f>
        <v>Ferlay</v>
      </c>
      <c r="C25" s="340" t="str">
        <f ca="1">Start.listina!K31</f>
        <v>Franck</v>
      </c>
      <c r="D25" s="340" t="str">
        <f ca="1">Start.listina!L31</f>
        <v>Carreau Brno</v>
      </c>
      <c r="E25" s="340">
        <f ca="1">Start.listina!M31</f>
        <v>207</v>
      </c>
      <c r="F25" s="340">
        <f ca="1">Start.listina!N31</f>
        <v>8.3130000000000006</v>
      </c>
      <c r="G25" s="7"/>
    </row>
    <row r="26" spans="1:7">
      <c r="A26" s="340">
        <f ca="1">Start.listina!I32</f>
        <v>21021</v>
      </c>
      <c r="B26" s="386" t="str">
        <f ca="1">Start.listina!J32</f>
        <v>Sekerešová</v>
      </c>
      <c r="C26" s="340" t="str">
        <f ca="1">Start.listina!K32</f>
        <v>Jindřiška</v>
      </c>
      <c r="D26" s="340" t="str">
        <f ca="1">Start.listina!L32</f>
        <v>SK Sahara Vědomice</v>
      </c>
      <c r="E26" s="340">
        <f ca="1">Start.listina!M32</f>
        <v>118</v>
      </c>
      <c r="F26" s="340">
        <f ca="1">Start.listina!N32</f>
        <v>23.282</v>
      </c>
      <c r="G26" s="7"/>
    </row>
    <row r="27" spans="1:7">
      <c r="A27" s="340">
        <f ca="1">Start.listina!I33</f>
        <v>11001</v>
      </c>
      <c r="B27" s="386" t="str">
        <f ca="1">Start.listina!J33</f>
        <v>Lukáš</v>
      </c>
      <c r="C27" s="340" t="str">
        <f ca="1">Start.listina!K33</f>
        <v>Petr</v>
      </c>
      <c r="D27" s="340" t="str">
        <f ca="1">Start.listina!L33</f>
        <v>PLUK Jablonec</v>
      </c>
      <c r="E27" s="340">
        <f ca="1">Start.listina!M33</f>
        <v>28</v>
      </c>
      <c r="F27" s="340">
        <f ca="1">Start.listina!N33</f>
        <v>39.5</v>
      </c>
      <c r="G27" s="7"/>
    </row>
    <row r="28" spans="1:7">
      <c r="A28" s="340">
        <f ca="1">Start.listina!I34</f>
        <v>18109</v>
      </c>
      <c r="B28" s="386" t="str">
        <f ca="1">Start.listina!J34</f>
        <v>Šternberg</v>
      </c>
      <c r="C28" s="340" t="str">
        <f ca="1">Start.listina!K34</f>
        <v>Martin</v>
      </c>
      <c r="D28" s="340" t="str">
        <f ca="1">Start.listina!L34</f>
        <v>SPORT Kolín</v>
      </c>
      <c r="E28" s="340">
        <f ca="1">Start.listina!M34</f>
        <v>60</v>
      </c>
      <c r="F28" s="340">
        <f ca="1">Start.listina!N34</f>
        <v>32.5</v>
      </c>
      <c r="G28" s="7"/>
    </row>
    <row r="29" spans="1:7">
      <c r="A29" s="340">
        <f ca="1">Start.listina!I35</f>
        <v>16133</v>
      </c>
      <c r="B29" s="386" t="str">
        <f ca="1">Start.listina!J35</f>
        <v>Strouhalová</v>
      </c>
      <c r="C29" s="340" t="str">
        <f ca="1">Start.listina!K35</f>
        <v>Terezie</v>
      </c>
      <c r="D29" s="340" t="str">
        <f ca="1">Start.listina!L35</f>
        <v>1. Starobrněnský PK</v>
      </c>
      <c r="E29" s="340">
        <f ca="1">Start.listina!M35</f>
        <v>108</v>
      </c>
      <c r="F29" s="340">
        <f ca="1">Start.listina!N35</f>
        <v>27.314</v>
      </c>
      <c r="G29" s="7"/>
    </row>
    <row r="30" spans="1:7">
      <c r="A30" s="340">
        <f ca="1">Start.listina!I36</f>
        <v>21912</v>
      </c>
      <c r="B30" s="386" t="str">
        <f ca="1">Start.listina!J36</f>
        <v>Koreš st.</v>
      </c>
      <c r="C30" s="340" t="str">
        <f ca="1">Start.listina!K36</f>
        <v>Jiří</v>
      </c>
      <c r="D30" s="340" t="str">
        <f ca="1">Start.listina!L36</f>
        <v>HAVAJ CB</v>
      </c>
      <c r="E30" s="340">
        <f ca="1">Start.listina!M36</f>
        <v>13</v>
      </c>
      <c r="F30" s="340">
        <f ca="1">Start.listina!N36</f>
        <v>41</v>
      </c>
      <c r="G30" s="7"/>
    </row>
    <row r="31" spans="1:7">
      <c r="A31" s="340">
        <f ca="1">Start.listina!I37</f>
        <v>11038</v>
      </c>
      <c r="B31" s="386" t="str">
        <f ca="1">Start.listina!J37</f>
        <v>Kapeš</v>
      </c>
      <c r="C31" s="340" t="str">
        <f ca="1">Start.listina!K37</f>
        <v>Roman</v>
      </c>
      <c r="D31" s="340" t="str">
        <f ca="1">Start.listina!L37</f>
        <v>1. KPK Vrchlabí</v>
      </c>
      <c r="E31" s="340">
        <f ca="1">Start.listina!M37</f>
        <v>266</v>
      </c>
      <c r="F31" s="340">
        <f ca="1">Start.listina!N37</f>
        <v>8.0640000000000001</v>
      </c>
      <c r="G31" s="7"/>
    </row>
    <row r="32" spans="1:7">
      <c r="A32" s="340">
        <f ca="1">Start.listina!I38</f>
        <v>16029</v>
      </c>
      <c r="B32" s="386" t="str">
        <f ca="1">Start.listina!J38</f>
        <v>Kašparová</v>
      </c>
      <c r="C32" s="340" t="str">
        <f ca="1">Start.listina!K38</f>
        <v>Barbora</v>
      </c>
      <c r="D32" s="340" t="str">
        <f ca="1">Start.listina!L38</f>
        <v>Petank Club Praha</v>
      </c>
      <c r="E32" s="340">
        <f ca="1">Start.listina!M38</f>
        <v>72</v>
      </c>
      <c r="F32" s="340">
        <f ca="1">Start.listina!N38</f>
        <v>31</v>
      </c>
      <c r="G32" s="7"/>
    </row>
    <row r="33" spans="1:7">
      <c r="A33" s="340">
        <f ca="1">Start.listina!I39</f>
        <v>28006</v>
      </c>
      <c r="B33" s="386" t="str">
        <f ca="1">Start.listina!J39</f>
        <v>Grepl</v>
      </c>
      <c r="C33" s="340" t="str">
        <f ca="1">Start.listina!K39</f>
        <v>Jiří</v>
      </c>
      <c r="D33" s="340" t="str">
        <f ca="1">Start.listina!L39</f>
        <v>Carreau Brno</v>
      </c>
      <c r="E33" s="340">
        <f ca="1">Start.listina!M39</f>
        <v>5</v>
      </c>
      <c r="F33" s="340">
        <f ca="1">Start.listina!N39</f>
        <v>39.125</v>
      </c>
      <c r="G33" s="7"/>
    </row>
    <row r="34" spans="1:7">
      <c r="A34" s="340">
        <f ca="1">Start.listina!I40</f>
        <v>12038</v>
      </c>
      <c r="B34" s="386" t="str">
        <f ca="1">Start.listina!J40</f>
        <v>Krejčín</v>
      </c>
      <c r="C34" s="340" t="str">
        <f ca="1">Start.listina!K40</f>
        <v>Leoš</v>
      </c>
      <c r="D34" s="340" t="str">
        <f ca="1">Start.listina!L40</f>
        <v>SKP Kulová osma</v>
      </c>
      <c r="E34" s="340">
        <f ca="1">Start.listina!M40</f>
        <v>37</v>
      </c>
      <c r="F34" s="340">
        <f ca="1">Start.listina!N40</f>
        <v>26.187999999999999</v>
      </c>
      <c r="G34" s="7"/>
    </row>
    <row r="35" spans="1:7">
      <c r="A35" s="340">
        <f ca="1">Start.listina!I41</f>
        <v>22119</v>
      </c>
      <c r="B35" s="386" t="str">
        <f ca="1">Start.listina!J41</f>
        <v>Šídlová</v>
      </c>
      <c r="C35" s="340" t="str">
        <f ca="1">Start.listina!K41</f>
        <v>Lucie</v>
      </c>
      <c r="D35" s="340" t="str">
        <f ca="1">Start.listina!L41</f>
        <v>PC Mimo Done</v>
      </c>
      <c r="E35" s="340">
        <f ca="1">Start.listina!M41</f>
        <v>19</v>
      </c>
      <c r="F35" s="340">
        <f ca="1">Start.listina!N41</f>
        <v>44.25</v>
      </c>
      <c r="G35" s="7"/>
    </row>
    <row r="36" spans="1:7">
      <c r="A36" s="340">
        <f ca="1">Start.listina!I42</f>
        <v>19025</v>
      </c>
      <c r="B36" s="386" t="str">
        <f ca="1">Start.listina!J42</f>
        <v>Maňák</v>
      </c>
      <c r="C36" s="340" t="str">
        <f ca="1">Start.listina!K42</f>
        <v>Jan</v>
      </c>
      <c r="D36" s="340" t="str">
        <f ca="1">Start.listina!L42</f>
        <v>Petank Club Praha</v>
      </c>
      <c r="E36" s="340">
        <f ca="1">Start.listina!M42</f>
        <v>115</v>
      </c>
      <c r="F36" s="340">
        <f ca="1">Start.listina!N42</f>
        <v>26.375</v>
      </c>
      <c r="G36" s="7"/>
    </row>
    <row r="37" spans="1:7">
      <c r="A37" s="340">
        <f ca="1">Start.listina!I43</f>
        <v>21053</v>
      </c>
      <c r="B37" s="386" t="str">
        <f ca="1">Start.listina!J43</f>
        <v>Ptáčková</v>
      </c>
      <c r="C37" s="340" t="str">
        <f ca="1">Start.listina!K43</f>
        <v>Eliška</v>
      </c>
      <c r="D37" s="340" t="str">
        <f ca="1">Start.listina!L43</f>
        <v>HRODE KRUMSÍN</v>
      </c>
      <c r="E37" s="340">
        <f ca="1">Start.listina!M43</f>
        <v>67</v>
      </c>
      <c r="F37" s="340">
        <f ca="1">Start.listina!N43</f>
        <v>31.687999999999999</v>
      </c>
      <c r="G37" s="7"/>
    </row>
    <row r="38" spans="1:7">
      <c r="A38" s="340">
        <f ca="1">Start.listina!I44</f>
        <v>25011</v>
      </c>
      <c r="B38" s="386" t="str">
        <f ca="1">Start.listina!J44</f>
        <v>Jirkovský</v>
      </c>
      <c r="C38" s="340" t="str">
        <f ca="1">Start.listina!K44</f>
        <v>Tomáš</v>
      </c>
      <c r="D38" s="340" t="str">
        <f ca="1">Start.listina!L44</f>
        <v>CdP Loděnice</v>
      </c>
      <c r="E38" s="340">
        <f ca="1">Start.listina!M44</f>
        <v>104</v>
      </c>
      <c r="F38" s="340">
        <f ca="1">Start.listina!N44</f>
        <v>25.407</v>
      </c>
      <c r="G38" s="7"/>
    </row>
    <row r="39" spans="1:7">
      <c r="A39" s="340">
        <f ca="1">Start.listina!I45</f>
        <v>15060</v>
      </c>
      <c r="B39" s="386" t="str">
        <f ca="1">Start.listina!J45</f>
        <v>Horálek</v>
      </c>
      <c r="C39" s="340" t="str">
        <f ca="1">Start.listina!K45</f>
        <v>Jiří</v>
      </c>
      <c r="D39" s="340" t="str">
        <f ca="1">Start.listina!L45</f>
        <v>PKT Velký Šanc</v>
      </c>
      <c r="E39" s="340">
        <f ca="1">Start.listina!M45</f>
        <v>96</v>
      </c>
      <c r="F39" s="340">
        <f ca="1">Start.listina!N45</f>
        <v>28.001000000000001</v>
      </c>
      <c r="G39" s="7"/>
    </row>
    <row r="40" spans="1:7">
      <c r="A40" s="340">
        <f ca="1">Start.listina!I46</f>
        <v>24271</v>
      </c>
      <c r="B40" s="386" t="str">
        <f ca="1">Start.listina!J46</f>
        <v>Rolínek</v>
      </c>
      <c r="C40" s="340" t="str">
        <f ca="1">Start.listina!K46</f>
        <v>Michal</v>
      </c>
      <c r="D40" s="340" t="str">
        <f ca="1">Start.listina!L46</f>
        <v>HRODE KRUMSÍN</v>
      </c>
      <c r="E40" s="340">
        <f ca="1">Start.listina!M46</f>
        <v>111</v>
      </c>
      <c r="F40" s="340">
        <f ca="1">Start.listina!N46</f>
        <v>37.438000000000002</v>
      </c>
      <c r="G40" s="7"/>
    </row>
    <row r="41" spans="1:7">
      <c r="A41" s="340">
        <f ca="1">Start.listina!I47</f>
        <v>16010</v>
      </c>
      <c r="B41" s="386" t="str">
        <f ca="1">Start.listina!J47</f>
        <v>Šplechtová</v>
      </c>
      <c r="C41" s="340" t="str">
        <f ca="1">Start.listina!K47</f>
        <v>Dana</v>
      </c>
      <c r="D41" s="340" t="str">
        <f ca="1">Start.listina!L47</f>
        <v>PC Sokol Lipník</v>
      </c>
      <c r="E41" s="340">
        <f ca="1">Start.listina!M47</f>
        <v>158</v>
      </c>
      <c r="F41" s="340">
        <f ca="1">Start.listina!N47</f>
        <v>14.156000000000001</v>
      </c>
      <c r="G41" s="7"/>
    </row>
    <row r="42" spans="1:7">
      <c r="A42" s="340">
        <f ca="1">Start.listina!I48</f>
        <v>20532</v>
      </c>
      <c r="B42" s="386" t="str">
        <f ca="1">Start.listina!J48</f>
        <v>Křížek</v>
      </c>
      <c r="C42" s="340" t="str">
        <f ca="1">Start.listina!K48</f>
        <v>Evžen</v>
      </c>
      <c r="D42" s="340" t="str">
        <f ca="1">Start.listina!L48</f>
        <v>UBU Únětice</v>
      </c>
      <c r="E42" s="340">
        <f ca="1">Start.listina!M48</f>
        <v>120</v>
      </c>
      <c r="F42" s="340">
        <f ca="1">Start.listina!N48</f>
        <v>25.75</v>
      </c>
      <c r="G42" s="7"/>
    </row>
    <row r="43" spans="1:7">
      <c r="A43" s="340">
        <f ca="1">Start.listina!I49</f>
        <v>23248</v>
      </c>
      <c r="B43" s="386" t="str">
        <f ca="1">Start.listina!J49</f>
        <v>Mareček</v>
      </c>
      <c r="C43" s="340" t="str">
        <f ca="1">Start.listina!K49</f>
        <v>Pavel</v>
      </c>
      <c r="D43" s="340" t="str">
        <f ca="1">Start.listina!L49</f>
        <v>Orel Řečkovice</v>
      </c>
      <c r="E43" s="340">
        <f ca="1">Start.listina!M49</f>
        <v>214</v>
      </c>
      <c r="F43" s="340">
        <f ca="1">Start.listina!N49</f>
        <v>13.625999999999999</v>
      </c>
      <c r="G43" s="7"/>
    </row>
    <row r="44" spans="1:7">
      <c r="A44" s="340">
        <f ca="1">Start.listina!I50</f>
        <v>20527</v>
      </c>
      <c r="B44" s="386" t="str">
        <f ca="1">Start.listina!J50</f>
        <v>Šíma</v>
      </c>
      <c r="C44" s="340" t="str">
        <f ca="1">Start.listina!K50</f>
        <v>Jaroslav</v>
      </c>
      <c r="D44" s="340" t="str">
        <f ca="1">Start.listina!L50</f>
        <v>PC Mimo Done</v>
      </c>
      <c r="E44" s="340">
        <f ca="1">Start.listina!M50</f>
        <v>101</v>
      </c>
      <c r="F44" s="340">
        <f ca="1">Start.listina!N50</f>
        <v>26.562999999999999</v>
      </c>
      <c r="G44" s="7"/>
    </row>
    <row r="45" spans="1:7">
      <c r="A45" s="340">
        <f ca="1">Start.listina!I51</f>
        <v>10012</v>
      </c>
      <c r="B45" s="386" t="str">
        <f ca="1">Start.listina!J51</f>
        <v>Melgr</v>
      </c>
      <c r="C45" s="340" t="str">
        <f ca="1">Start.listina!K51</f>
        <v>Jan</v>
      </c>
      <c r="D45" s="340" t="str">
        <f ca="1">Start.listina!L51</f>
        <v>PC Sokol PP Hr. Králové</v>
      </c>
      <c r="E45" s="340">
        <f ca="1">Start.listina!M51</f>
        <v>122</v>
      </c>
      <c r="F45" s="340">
        <f ca="1">Start.listina!N51</f>
        <v>29</v>
      </c>
      <c r="G45" s="7"/>
    </row>
    <row r="46" spans="1:7">
      <c r="A46" s="340">
        <f ca="1">Start.listina!I52</f>
        <v>21836</v>
      </c>
      <c r="B46" s="386" t="str">
        <f ca="1">Start.listina!J52</f>
        <v>Piller</v>
      </c>
      <c r="C46" s="340" t="str">
        <f ca="1">Start.listina!K52</f>
        <v>Tomáš</v>
      </c>
      <c r="D46" s="340" t="str">
        <f ca="1">Start.listina!L52</f>
        <v>SK Sahara Vědomice</v>
      </c>
      <c r="E46" s="340">
        <f ca="1">Start.listina!M52</f>
        <v>190</v>
      </c>
      <c r="F46" s="340">
        <f ca="1">Start.listina!N52</f>
        <v>15.002000000000001</v>
      </c>
      <c r="G46" s="7"/>
    </row>
    <row r="47" spans="1:7">
      <c r="A47" s="340">
        <f ca="1">Start.listina!I53</f>
        <v>21026</v>
      </c>
      <c r="B47" s="386" t="str">
        <f ca="1">Start.listina!J53</f>
        <v>Vodehnalová</v>
      </c>
      <c r="C47" s="340" t="str">
        <f ca="1">Start.listina!K53</f>
        <v>Jindra</v>
      </c>
      <c r="D47" s="340" t="str">
        <f ca="1">Start.listina!L53</f>
        <v>SK Pétanque Řepy</v>
      </c>
      <c r="E47" s="340">
        <f ca="1">Start.listina!M53</f>
        <v>131</v>
      </c>
      <c r="F47" s="340">
        <f ca="1">Start.listina!N53</f>
        <v>21.251000000000001</v>
      </c>
      <c r="G47" s="7"/>
    </row>
    <row r="48" spans="1:7">
      <c r="A48" s="340">
        <f ca="1">Start.listina!I54</f>
        <v>15011</v>
      </c>
      <c r="B48" s="386" t="str">
        <f ca="1">Start.listina!J54</f>
        <v>Chmelař</v>
      </c>
      <c r="C48" s="340" t="str">
        <f ca="1">Start.listina!K54</f>
        <v>Ivo</v>
      </c>
      <c r="D48" s="340" t="str">
        <f ca="1">Start.listina!L54</f>
        <v>SKP Kulová osma</v>
      </c>
      <c r="E48" s="340">
        <f ca="1">Start.listina!M54</f>
        <v>112</v>
      </c>
      <c r="F48" s="340">
        <f ca="1">Start.listina!N54</f>
        <v>20.094999999999999</v>
      </c>
      <c r="G48" s="7"/>
    </row>
    <row r="49" spans="1:7">
      <c r="A49" s="340">
        <f ca="1">Start.listina!I55</f>
        <v>23257</v>
      </c>
      <c r="B49" s="386" t="str">
        <f ca="1">Start.listina!J55</f>
        <v>Lujková</v>
      </c>
      <c r="C49" s="340" t="str">
        <f ca="1">Start.listina!K55</f>
        <v>Klára</v>
      </c>
      <c r="D49" s="340" t="str">
        <f ca="1">Start.listina!L55</f>
        <v>PSK Jihlava</v>
      </c>
      <c r="E49" s="340">
        <f ca="1">Start.listina!M55</f>
        <v>216</v>
      </c>
      <c r="F49" s="340">
        <f ca="1">Start.listina!N55</f>
        <v>20.314</v>
      </c>
      <c r="G49" s="7"/>
    </row>
    <row r="50" spans="1:7">
      <c r="A50" s="340">
        <f ca="1">Start.listina!I56</f>
        <v>25003</v>
      </c>
      <c r="B50" s="386" t="str">
        <f ca="1">Start.listina!J56</f>
        <v>Horáčková</v>
      </c>
      <c r="C50" s="340" t="str">
        <f ca="1">Start.listina!K56</f>
        <v>Simona</v>
      </c>
      <c r="D50" s="340" t="str">
        <f ca="1">Start.listina!L56</f>
        <v>SK Sahara Vědomice</v>
      </c>
      <c r="E50" s="340">
        <f ca="1">Start.listina!M56</f>
        <v>91</v>
      </c>
      <c r="F50" s="340">
        <f ca="1">Start.listina!N56</f>
        <v>24.626000000000001</v>
      </c>
      <c r="G50" s="7"/>
    </row>
    <row r="51" spans="1:7">
      <c r="A51" s="340">
        <f ca="1">Start.listina!I57</f>
        <v>19067</v>
      </c>
      <c r="B51" s="386" t="str">
        <f ca="1">Start.listina!J57</f>
        <v>Petrželka</v>
      </c>
      <c r="C51" s="340" t="str">
        <f ca="1">Start.listina!K57</f>
        <v>Josef</v>
      </c>
      <c r="D51" s="340" t="str">
        <f ca="1">Start.listina!L57</f>
        <v>1. Starobrněnský PK</v>
      </c>
      <c r="E51" s="340">
        <f ca="1">Start.listina!M57</f>
        <v>219</v>
      </c>
      <c r="F51" s="340">
        <f ca="1">Start.listina!N57</f>
        <v>18.187999999999999</v>
      </c>
      <c r="G51" s="7"/>
    </row>
    <row r="52" spans="1:7">
      <c r="A52" s="340">
        <f ca="1">Start.listina!I58</f>
        <v>16075</v>
      </c>
      <c r="B52" s="386" t="str">
        <f ca="1">Start.listina!J58</f>
        <v>Hladík</v>
      </c>
      <c r="C52" s="340" t="str">
        <f ca="1">Start.listina!K58</f>
        <v>Jaroslav</v>
      </c>
      <c r="D52" s="340" t="str">
        <f ca="1">Start.listina!L58</f>
        <v>SK Pétanque Řepy</v>
      </c>
      <c r="E52" s="340">
        <f ca="1">Start.listina!M58</f>
        <v>140</v>
      </c>
      <c r="F52" s="340">
        <f ca="1">Start.listina!N58</f>
        <v>18.940000000000001</v>
      </c>
      <c r="G52" s="7"/>
    </row>
    <row r="53" spans="1:7">
      <c r="A53" s="340">
        <f ca="1">Start.listina!I59</f>
        <v>14021</v>
      </c>
      <c r="B53" s="386" t="str">
        <f ca="1">Start.listina!J59</f>
        <v>Grepl</v>
      </c>
      <c r="C53" s="340" t="str">
        <f ca="1">Start.listina!K59</f>
        <v>Zbyněk</v>
      </c>
      <c r="D53" s="340" t="str">
        <f ca="1">Start.listina!L59</f>
        <v>PK Polouvsí</v>
      </c>
      <c r="E53" s="340">
        <f ca="1">Start.listina!M59</f>
        <v>268</v>
      </c>
      <c r="F53" s="340">
        <f ca="1">Start.listina!N59</f>
        <v>14.845000000000001</v>
      </c>
      <c r="G53" s="7"/>
    </row>
    <row r="54" spans="1:7">
      <c r="A54" s="340">
        <f ca="1">Start.listina!I60</f>
        <v>18064</v>
      </c>
      <c r="B54" s="386" t="str">
        <f ca="1">Start.listina!J60</f>
        <v>Rusek</v>
      </c>
      <c r="C54" s="340" t="str">
        <f ca="1">Start.listina!K60</f>
        <v>Luboš</v>
      </c>
      <c r="D54" s="340" t="str">
        <f ca="1">Start.listina!L60</f>
        <v>PK Polouvsí</v>
      </c>
      <c r="E54" s="340">
        <f ca="1">Start.listina!M60</f>
        <v>174</v>
      </c>
      <c r="F54" s="340">
        <f ca="1">Start.listina!N60</f>
        <v>17.812999999999999</v>
      </c>
      <c r="G54" s="7"/>
    </row>
    <row r="55" spans="1:7">
      <c r="A55" s="340">
        <f ca="1">Start.listina!I61</f>
        <v>24218</v>
      </c>
      <c r="B55" s="386" t="str">
        <f ca="1">Start.listina!J61</f>
        <v>Fuksa</v>
      </c>
      <c r="C55" s="340" t="str">
        <f ca="1">Start.listina!K61</f>
        <v>Petr</v>
      </c>
      <c r="D55" s="340" t="str">
        <f ca="1">Start.listina!L61</f>
        <v>UBU Únětice</v>
      </c>
      <c r="E55" s="340">
        <f ca="1">Start.listina!M61</f>
        <v>129</v>
      </c>
      <c r="F55" s="340">
        <f ca="1">Start.listina!N61</f>
        <v>27.062999999999999</v>
      </c>
      <c r="G55" s="7"/>
    </row>
    <row r="56" spans="1:7">
      <c r="A56" s="340">
        <f ca="1">Start.listina!I62</f>
        <v>21004</v>
      </c>
      <c r="B56" s="386" t="str">
        <f ca="1">Start.listina!J62</f>
        <v>Grepl</v>
      </c>
      <c r="C56" s="340" t="str">
        <f ca="1">Start.listina!K62</f>
        <v>Kamila</v>
      </c>
      <c r="D56" s="340" t="str">
        <f ca="1">Start.listina!L62</f>
        <v>Carreau Brno</v>
      </c>
      <c r="E56" s="340">
        <f ca="1">Start.listina!M62</f>
        <v>155</v>
      </c>
      <c r="F56" s="340">
        <f ca="1">Start.listina!N62</f>
        <v>16.5</v>
      </c>
      <c r="G56" s="7"/>
    </row>
    <row r="57" spans="1:7">
      <c r="A57" s="340">
        <f ca="1">Start.listina!I63</f>
        <v>23243</v>
      </c>
      <c r="B57" s="386" t="str">
        <f ca="1">Start.listina!J63</f>
        <v>Sudoměřický</v>
      </c>
      <c r="C57" s="340" t="str">
        <f ca="1">Start.listina!K63</f>
        <v>Tomáš</v>
      </c>
      <c r="D57" s="340" t="str">
        <f ca="1">Start.listina!L63</f>
        <v>PC Sokol Velim</v>
      </c>
      <c r="E57" s="340">
        <f ca="1">Start.listina!M63</f>
        <v>263</v>
      </c>
      <c r="F57" s="340">
        <f ca="1">Start.listina!N63</f>
        <v>10.72</v>
      </c>
      <c r="G57" s="7"/>
    </row>
    <row r="58" spans="1:7">
      <c r="A58" s="340">
        <f ca="1">Start.listina!I64</f>
        <v>20542</v>
      </c>
      <c r="B58" s="386" t="str">
        <f ca="1">Start.listina!J64</f>
        <v>Holenda</v>
      </c>
      <c r="C58" s="340" t="str">
        <f ca="1">Start.listina!K64</f>
        <v>Milan</v>
      </c>
      <c r="D58" s="340" t="str">
        <f ca="1">Start.listina!L64</f>
        <v>PO Chotěboř</v>
      </c>
      <c r="E58" s="340">
        <f ca="1">Start.listina!M64</f>
        <v>292</v>
      </c>
      <c r="F58" s="340">
        <f ca="1">Start.listina!N64</f>
        <v>14.47</v>
      </c>
      <c r="G58" s="7"/>
    </row>
    <row r="59" spans="1:7">
      <c r="A59" s="340">
        <f ca="1">Start.listina!I65</f>
        <v>18141</v>
      </c>
      <c r="B59" s="386" t="str">
        <f ca="1">Start.listina!J65</f>
        <v>Horák</v>
      </c>
      <c r="C59" s="340" t="str">
        <f ca="1">Start.listina!K65</f>
        <v>Libor</v>
      </c>
      <c r="D59" s="340" t="str">
        <f ca="1">Start.listina!L65</f>
        <v>BePeC 2016</v>
      </c>
      <c r="E59" s="340">
        <f ca="1">Start.listina!M65</f>
        <v>317</v>
      </c>
      <c r="F59" s="340">
        <f ca="1">Start.listina!N65</f>
        <v>11.250999999999999</v>
      </c>
      <c r="G59" s="7"/>
    </row>
    <row r="60" spans="1:7">
      <c r="A60" s="340">
        <f ca="1">Start.listina!I66</f>
        <v>20600</v>
      </c>
      <c r="B60" s="386" t="str">
        <f ca="1">Start.listina!J66</f>
        <v>Dyba</v>
      </c>
      <c r="C60" s="340" t="str">
        <f ca="1">Start.listina!K66</f>
        <v>Daniel</v>
      </c>
      <c r="D60" s="340" t="str">
        <f ca="1">Start.listina!L66</f>
        <v>PSK Jihlava</v>
      </c>
      <c r="E60" s="340">
        <f ca="1">Start.listina!M66</f>
        <v>267</v>
      </c>
      <c r="F60" s="340">
        <f ca="1">Start.listina!N66</f>
        <v>13.532</v>
      </c>
      <c r="G60" s="7"/>
    </row>
    <row r="61" spans="1:7">
      <c r="A61" s="340">
        <f ca="1">Start.listina!I67</f>
        <v>24534</v>
      </c>
      <c r="B61" s="386" t="str">
        <f ca="1">Start.listina!J67</f>
        <v>Krupicová</v>
      </c>
      <c r="C61" s="340" t="str">
        <f ca="1">Start.listina!K67</f>
        <v>Natálie</v>
      </c>
      <c r="D61" s="340" t="str">
        <f ca="1">Start.listina!L67</f>
        <v>PSK Jihlava</v>
      </c>
      <c r="E61" s="340">
        <f ca="1">Start.listina!M67</f>
        <v>477</v>
      </c>
      <c r="F61" s="340">
        <f ca="1">Start.listina!N67</f>
        <v>3</v>
      </c>
      <c r="G61" s="7"/>
    </row>
    <row r="62" spans="1:7">
      <c r="A62" s="340">
        <f ca="1">Start.listina!I68</f>
        <v>22124</v>
      </c>
      <c r="B62" s="386" t="str">
        <f ca="1">Start.listina!J68</f>
        <v>Žáková</v>
      </c>
      <c r="C62" s="340" t="str">
        <f ca="1">Start.listina!K68</f>
        <v>Naděžda</v>
      </c>
      <c r="D62" s="340" t="str">
        <f ca="1">Start.listina!L68</f>
        <v>PSK Jihlava</v>
      </c>
      <c r="E62" s="340">
        <f ca="1">Start.listina!M68</f>
        <v>470</v>
      </c>
      <c r="F62" s="340">
        <f ca="1">Start.listina!N68</f>
        <v>3.6880000000000002</v>
      </c>
      <c r="G62" s="7"/>
    </row>
    <row r="63" spans="1:7">
      <c r="A63" s="340">
        <f ca="1">Start.listina!I69</f>
        <v>22128</v>
      </c>
      <c r="B63" s="386" t="str">
        <f ca="1">Start.listina!J69</f>
        <v>Půža</v>
      </c>
      <c r="C63" s="340" t="str">
        <f ca="1">Start.listina!K69</f>
        <v>Jan</v>
      </c>
      <c r="D63" s="340" t="str">
        <f ca="1">Start.listina!L69</f>
        <v>PSK Jihlava</v>
      </c>
      <c r="E63" s="340">
        <f ca="1">Start.listina!M69</f>
        <v>529</v>
      </c>
      <c r="F63" s="340">
        <f ca="1">Start.listina!N69</f>
        <v>2</v>
      </c>
      <c r="G63" s="7"/>
    </row>
    <row r="64" spans="1:7">
      <c r="A64" s="340" t="str">
        <f ca="1">Start.listina!I70</f>
        <v/>
      </c>
      <c r="B64" s="386" t="str">
        <f ca="1">Start.listina!J70</f>
        <v xml:space="preserve"> </v>
      </c>
      <c r="C64" s="340" t="str">
        <f ca="1">Start.listina!K70</f>
        <v xml:space="preserve"> </v>
      </c>
      <c r="D64" s="340" t="str">
        <f ca="1">Start.listina!L70</f>
        <v xml:space="preserve"> </v>
      </c>
      <c r="E64" s="340">
        <f ca="1">Start.listina!M70</f>
        <v>9999</v>
      </c>
      <c r="F64" s="340">
        <f ca="1">Start.listina!N70</f>
        <v>0</v>
      </c>
      <c r="G64" s="7"/>
    </row>
    <row r="65" spans="1:7">
      <c r="A65" s="340" t="str">
        <f ca="1">Start.listina!I71</f>
        <v/>
      </c>
      <c r="B65" s="386" t="str">
        <f ca="1">Start.listina!J71</f>
        <v xml:space="preserve"> </v>
      </c>
      <c r="C65" s="340" t="str">
        <f ca="1">Start.listina!K71</f>
        <v xml:space="preserve"> </v>
      </c>
      <c r="D65" s="340" t="str">
        <f ca="1">Start.listina!L71</f>
        <v xml:space="preserve"> </v>
      </c>
      <c r="E65" s="340">
        <f ca="1">Start.listina!M71</f>
        <v>9999</v>
      </c>
      <c r="F65" s="340">
        <f ca="1">Start.listina!N71</f>
        <v>0</v>
      </c>
      <c r="G65" s="7"/>
    </row>
    <row r="66" spans="1:7">
      <c r="A66" s="340" t="str">
        <f ca="1">Start.listina!I72</f>
        <v/>
      </c>
      <c r="B66" s="386" t="str">
        <f ca="1">Start.listina!J72</f>
        <v xml:space="preserve"> </v>
      </c>
      <c r="C66" s="340" t="str">
        <f ca="1">Start.listina!K72</f>
        <v xml:space="preserve"> </v>
      </c>
      <c r="D66" s="340" t="str">
        <f ca="1">Start.listina!L72</f>
        <v xml:space="preserve"> </v>
      </c>
      <c r="E66" s="340">
        <f ca="1">Start.listina!M72</f>
        <v>9999</v>
      </c>
      <c r="F66" s="340">
        <f ca="1">Start.listina!N72</f>
        <v>0</v>
      </c>
      <c r="G66" s="7"/>
    </row>
    <row r="67" spans="1:7">
      <c r="A67" s="340" t="str">
        <f ca="1">Start.listina!I73</f>
        <v/>
      </c>
      <c r="B67" s="386" t="str">
        <f ca="1">Start.listina!J73</f>
        <v xml:space="preserve"> </v>
      </c>
      <c r="C67" s="340" t="str">
        <f ca="1">Start.listina!K73</f>
        <v xml:space="preserve"> </v>
      </c>
      <c r="D67" s="340" t="str">
        <f ca="1">Start.listina!L73</f>
        <v xml:space="preserve"> </v>
      </c>
      <c r="E67" s="340">
        <f ca="1">Start.listina!M73</f>
        <v>9999</v>
      </c>
      <c r="F67" s="340">
        <f ca="1">Start.listina!N73</f>
        <v>0</v>
      </c>
      <c r="G67" s="7"/>
    </row>
    <row r="68" spans="1:7">
      <c r="A68" s="340" t="str">
        <f ca="1">Start.listina!I74</f>
        <v/>
      </c>
      <c r="B68" s="386" t="str">
        <f ca="1">Start.listina!J74</f>
        <v xml:space="preserve"> </v>
      </c>
      <c r="C68" s="340" t="str">
        <f ca="1">Start.listina!K74</f>
        <v xml:space="preserve"> </v>
      </c>
      <c r="D68" s="340" t="str">
        <f ca="1">Start.listina!L74</f>
        <v xml:space="preserve"> </v>
      </c>
      <c r="E68" s="340">
        <f ca="1">Start.listina!M74</f>
        <v>9999</v>
      </c>
      <c r="F68" s="340">
        <f ca="1">Start.listina!N74</f>
        <v>0</v>
      </c>
      <c r="G68" s="7"/>
    </row>
    <row r="69" spans="1:7">
      <c r="A69" s="340" t="str">
        <f ca="1">Start.listina!I75</f>
        <v/>
      </c>
      <c r="B69" s="386" t="str">
        <f ca="1">Start.listina!J75</f>
        <v xml:space="preserve"> </v>
      </c>
      <c r="C69" s="340" t="str">
        <f ca="1">Start.listina!K75</f>
        <v xml:space="preserve"> </v>
      </c>
      <c r="D69" s="340" t="str">
        <f ca="1">Start.listina!L75</f>
        <v xml:space="preserve"> </v>
      </c>
      <c r="E69" s="340">
        <f ca="1">Start.listina!M75</f>
        <v>9999</v>
      </c>
      <c r="F69" s="340">
        <f ca="1">Start.listina!N75</f>
        <v>0</v>
      </c>
      <c r="G69" s="7"/>
    </row>
    <row r="70" spans="1:7">
      <c r="A70" s="340" t="str">
        <f ca="1">Start.listina!I76</f>
        <v/>
      </c>
      <c r="B70" s="386" t="str">
        <f ca="1">Start.listina!J76</f>
        <v xml:space="preserve"> </v>
      </c>
      <c r="C70" s="340" t="str">
        <f ca="1">Start.listina!K76</f>
        <v xml:space="preserve"> </v>
      </c>
      <c r="D70" s="340" t="str">
        <f ca="1">Start.listina!L76</f>
        <v xml:space="preserve"> </v>
      </c>
      <c r="E70" s="340">
        <f ca="1">Start.listina!M76</f>
        <v>9999</v>
      </c>
      <c r="F70" s="340">
        <f ca="1">Start.listina!N76</f>
        <v>0</v>
      </c>
      <c r="G70" s="7"/>
    </row>
    <row r="71" spans="1:7">
      <c r="A71" s="340" t="str">
        <f ca="1">Start.listina!I77</f>
        <v/>
      </c>
      <c r="B71" s="386" t="str">
        <f ca="1">Start.listina!J77</f>
        <v xml:space="preserve"> </v>
      </c>
      <c r="C71" s="340" t="str">
        <f ca="1">Start.listina!K77</f>
        <v xml:space="preserve"> </v>
      </c>
      <c r="D71" s="340" t="str">
        <f ca="1">Start.listina!L77</f>
        <v xml:space="preserve"> </v>
      </c>
      <c r="E71" s="340">
        <f ca="1">Start.listina!M77</f>
        <v>9999</v>
      </c>
      <c r="F71" s="340">
        <f ca="1">Start.listina!N77</f>
        <v>0</v>
      </c>
      <c r="G71" s="7"/>
    </row>
    <row r="72" spans="1:7">
      <c r="A72" s="340" t="str">
        <f ca="1">Start.listina!I78</f>
        <v/>
      </c>
      <c r="B72" s="386" t="str">
        <f ca="1">Start.listina!J78</f>
        <v xml:space="preserve"> </v>
      </c>
      <c r="C72" s="340" t="str">
        <f ca="1">Start.listina!K78</f>
        <v xml:space="preserve"> </v>
      </c>
      <c r="D72" s="340" t="str">
        <f ca="1">Start.listina!L78</f>
        <v xml:space="preserve"> </v>
      </c>
      <c r="E72" s="340">
        <f ca="1">Start.listina!M78</f>
        <v>9999</v>
      </c>
      <c r="F72" s="340">
        <f ca="1">Start.listina!N78</f>
        <v>0</v>
      </c>
      <c r="G72" s="7"/>
    </row>
    <row r="73" spans="1:7">
      <c r="A73" s="340" t="str">
        <f ca="1">Start.listina!I79</f>
        <v/>
      </c>
      <c r="B73" s="386" t="str">
        <f ca="1">Start.listina!J79</f>
        <v xml:space="preserve"> </v>
      </c>
      <c r="C73" s="340" t="str">
        <f ca="1">Start.listina!K79</f>
        <v xml:space="preserve"> </v>
      </c>
      <c r="D73" s="340" t="str">
        <f ca="1">Start.listina!L79</f>
        <v xml:space="preserve"> </v>
      </c>
      <c r="E73" s="340">
        <f ca="1">Start.listina!M79</f>
        <v>9999</v>
      </c>
      <c r="F73" s="340">
        <f ca="1">Start.listina!N79</f>
        <v>0</v>
      </c>
      <c r="G73" s="7"/>
    </row>
    <row r="74" spans="1:7">
      <c r="A74" s="340" t="str">
        <f ca="1">Start.listina!I80</f>
        <v/>
      </c>
      <c r="B74" s="386" t="str">
        <f ca="1">Start.listina!J80</f>
        <v xml:space="preserve"> </v>
      </c>
      <c r="C74" s="340" t="str">
        <f ca="1">Start.listina!K80</f>
        <v xml:space="preserve"> </v>
      </c>
      <c r="D74" s="340" t="str">
        <f ca="1">Start.listina!L80</f>
        <v xml:space="preserve"> </v>
      </c>
      <c r="E74" s="340">
        <f ca="1">Start.listina!M80</f>
        <v>9999</v>
      </c>
      <c r="F74" s="340">
        <f ca="1">Start.listina!N80</f>
        <v>0</v>
      </c>
      <c r="G74" s="7"/>
    </row>
    <row r="75" spans="1:7">
      <c r="A75" s="340" t="str">
        <f ca="1">Start.listina!I81</f>
        <v/>
      </c>
      <c r="B75" s="386" t="str">
        <f ca="1">Start.listina!J81</f>
        <v xml:space="preserve"> </v>
      </c>
      <c r="C75" s="340" t="str">
        <f ca="1">Start.listina!K81</f>
        <v xml:space="preserve"> </v>
      </c>
      <c r="D75" s="340" t="str">
        <f ca="1">Start.listina!L81</f>
        <v xml:space="preserve"> </v>
      </c>
      <c r="E75" s="340">
        <f ca="1">Start.listina!M81</f>
        <v>9999</v>
      </c>
      <c r="F75" s="340">
        <f ca="1">Start.listina!N81</f>
        <v>0</v>
      </c>
      <c r="G75" s="7"/>
    </row>
    <row r="76" spans="1:7">
      <c r="A76" s="340" t="str">
        <f ca="1">Start.listina!I82</f>
        <v/>
      </c>
      <c r="B76" s="386" t="str">
        <f ca="1">Start.listina!J82</f>
        <v xml:space="preserve"> </v>
      </c>
      <c r="C76" s="340" t="str">
        <f ca="1">Start.listina!K82</f>
        <v xml:space="preserve"> </v>
      </c>
      <c r="D76" s="340" t="str">
        <f ca="1">Start.listina!L82</f>
        <v xml:space="preserve"> </v>
      </c>
      <c r="E76" s="340">
        <f ca="1">Start.listina!M82</f>
        <v>9999</v>
      </c>
      <c r="F76" s="340">
        <f ca="1">Start.listina!N82</f>
        <v>0</v>
      </c>
      <c r="G76" s="7"/>
    </row>
    <row r="77" spans="1:7">
      <c r="A77" s="340" t="str">
        <f ca="1">Start.listina!I83</f>
        <v/>
      </c>
      <c r="B77" s="386" t="str">
        <f ca="1">Start.listina!J83</f>
        <v xml:space="preserve"> </v>
      </c>
      <c r="C77" s="340" t="str">
        <f ca="1">Start.listina!K83</f>
        <v xml:space="preserve"> </v>
      </c>
      <c r="D77" s="340" t="str">
        <f ca="1">Start.listina!L83</f>
        <v xml:space="preserve"> </v>
      </c>
      <c r="E77" s="340">
        <f ca="1">Start.listina!M83</f>
        <v>9999</v>
      </c>
      <c r="F77" s="340">
        <f ca="1">Start.listina!N83</f>
        <v>0</v>
      </c>
      <c r="G77" s="7"/>
    </row>
    <row r="78" spans="1:7">
      <c r="A78" s="340" t="str">
        <f ca="1">Start.listina!I84</f>
        <v/>
      </c>
      <c r="B78" s="386" t="str">
        <f ca="1">Start.listina!J84</f>
        <v xml:space="preserve"> </v>
      </c>
      <c r="C78" s="340" t="str">
        <f ca="1">Start.listina!K84</f>
        <v xml:space="preserve"> </v>
      </c>
      <c r="D78" s="340" t="str">
        <f ca="1">Start.listina!L84</f>
        <v xml:space="preserve"> </v>
      </c>
      <c r="E78" s="340">
        <f ca="1">Start.listina!M84</f>
        <v>9999</v>
      </c>
      <c r="F78" s="340">
        <f ca="1">Start.listina!N84</f>
        <v>0</v>
      </c>
      <c r="G78" s="7"/>
    </row>
    <row r="79" spans="1:7">
      <c r="A79" s="340" t="str">
        <f ca="1">Start.listina!I85</f>
        <v/>
      </c>
      <c r="B79" s="386" t="str">
        <f ca="1">Start.listina!J85</f>
        <v xml:space="preserve"> </v>
      </c>
      <c r="C79" s="340" t="str">
        <f ca="1">Start.listina!K85</f>
        <v xml:space="preserve"> </v>
      </c>
      <c r="D79" s="340" t="str">
        <f ca="1">Start.listina!L85</f>
        <v xml:space="preserve"> </v>
      </c>
      <c r="E79" s="340">
        <f ca="1">Start.listina!M85</f>
        <v>9999</v>
      </c>
      <c r="F79" s="340">
        <f ca="1">Start.listina!N85</f>
        <v>0</v>
      </c>
      <c r="G79" s="7"/>
    </row>
    <row r="80" spans="1:7">
      <c r="A80" s="340" t="str">
        <f ca="1">Start.listina!I86</f>
        <v/>
      </c>
      <c r="B80" s="386" t="str">
        <f ca="1">Start.listina!J86</f>
        <v xml:space="preserve"> </v>
      </c>
      <c r="C80" s="340" t="str">
        <f ca="1">Start.listina!K86</f>
        <v xml:space="preserve"> </v>
      </c>
      <c r="D80" s="340" t="str">
        <f ca="1">Start.listina!L86</f>
        <v xml:space="preserve"> </v>
      </c>
      <c r="E80" s="340">
        <f ca="1">Start.listina!M86</f>
        <v>9999</v>
      </c>
      <c r="F80" s="340">
        <f ca="1">Start.listina!N86</f>
        <v>0</v>
      </c>
      <c r="G80" s="7"/>
    </row>
    <row r="81" spans="1:7">
      <c r="A81" s="340" t="str">
        <f ca="1">Start.listina!I87</f>
        <v/>
      </c>
      <c r="B81" s="386" t="str">
        <f ca="1">Start.listina!J87</f>
        <v xml:space="preserve"> </v>
      </c>
      <c r="C81" s="340" t="str">
        <f ca="1">Start.listina!K87</f>
        <v xml:space="preserve"> </v>
      </c>
      <c r="D81" s="340" t="str">
        <f ca="1">Start.listina!L87</f>
        <v xml:space="preserve"> </v>
      </c>
      <c r="E81" s="340">
        <f ca="1">Start.listina!M87</f>
        <v>9999</v>
      </c>
      <c r="F81" s="340">
        <f ca="1">Start.listina!N87</f>
        <v>0</v>
      </c>
      <c r="G81" s="7"/>
    </row>
    <row r="82" spans="1:7">
      <c r="A82" s="340" t="str">
        <f ca="1">Start.listina!I88</f>
        <v/>
      </c>
      <c r="B82" s="386" t="str">
        <f ca="1">Start.listina!J88</f>
        <v xml:space="preserve"> </v>
      </c>
      <c r="C82" s="340" t="str">
        <f ca="1">Start.listina!K88</f>
        <v xml:space="preserve"> </v>
      </c>
      <c r="D82" s="340" t="str">
        <f ca="1">Start.listina!L88</f>
        <v xml:space="preserve"> </v>
      </c>
      <c r="E82" s="340">
        <f ca="1">Start.listina!M88</f>
        <v>9999</v>
      </c>
      <c r="F82" s="340">
        <f ca="1">Start.listina!N88</f>
        <v>0</v>
      </c>
      <c r="G82" s="7"/>
    </row>
    <row r="83" spans="1:7">
      <c r="A83" s="340" t="str">
        <f ca="1">Start.listina!I89</f>
        <v/>
      </c>
      <c r="B83" s="386" t="str">
        <f ca="1">Start.listina!J89</f>
        <v xml:space="preserve"> </v>
      </c>
      <c r="C83" s="340" t="str">
        <f ca="1">Start.listina!K89</f>
        <v xml:space="preserve"> </v>
      </c>
      <c r="D83" s="340" t="str">
        <f ca="1">Start.listina!L89</f>
        <v xml:space="preserve"> </v>
      </c>
      <c r="E83" s="340">
        <f ca="1">Start.listina!M89</f>
        <v>9999</v>
      </c>
      <c r="F83" s="340">
        <f ca="1">Start.listina!N89</f>
        <v>0</v>
      </c>
      <c r="G83" s="7"/>
    </row>
    <row r="84" spans="1:7">
      <c r="A84" s="340" t="str">
        <f ca="1">Start.listina!I90</f>
        <v/>
      </c>
      <c r="B84" s="386" t="str">
        <f ca="1">Start.listina!J90</f>
        <v xml:space="preserve"> </v>
      </c>
      <c r="C84" s="340" t="str">
        <f ca="1">Start.listina!K90</f>
        <v xml:space="preserve"> </v>
      </c>
      <c r="D84" s="340" t="str">
        <f ca="1">Start.listina!L90</f>
        <v xml:space="preserve"> </v>
      </c>
      <c r="E84" s="340">
        <f ca="1">Start.listina!M90</f>
        <v>9999</v>
      </c>
      <c r="F84" s="340">
        <f ca="1">Start.listina!N90</f>
        <v>0</v>
      </c>
      <c r="G84" s="7"/>
    </row>
    <row r="85" spans="1:7">
      <c r="A85" s="340" t="str">
        <f ca="1">Start.listina!I91</f>
        <v/>
      </c>
      <c r="B85" s="386" t="str">
        <f ca="1">Start.listina!J91</f>
        <v xml:space="preserve"> </v>
      </c>
      <c r="C85" s="340" t="str">
        <f ca="1">Start.listina!K91</f>
        <v xml:space="preserve"> </v>
      </c>
      <c r="D85" s="340" t="str">
        <f ca="1">Start.listina!L91</f>
        <v xml:space="preserve"> </v>
      </c>
      <c r="E85" s="340">
        <f ca="1">Start.listina!M91</f>
        <v>9999</v>
      </c>
      <c r="F85" s="340">
        <f ca="1">Start.listina!N91</f>
        <v>0</v>
      </c>
      <c r="G85" s="7"/>
    </row>
    <row r="86" spans="1:7">
      <c r="A86" s="340" t="str">
        <f ca="1">Start.listina!I92</f>
        <v/>
      </c>
      <c r="B86" s="386" t="str">
        <f ca="1">Start.listina!J92</f>
        <v xml:space="preserve"> </v>
      </c>
      <c r="C86" s="340" t="str">
        <f ca="1">Start.listina!K92</f>
        <v xml:space="preserve"> </v>
      </c>
      <c r="D86" s="340" t="str">
        <f ca="1">Start.listina!L92</f>
        <v xml:space="preserve"> </v>
      </c>
      <c r="E86" s="340">
        <f ca="1">Start.listina!M92</f>
        <v>9999</v>
      </c>
      <c r="F86" s="340">
        <f ca="1">Start.listina!N92</f>
        <v>0</v>
      </c>
      <c r="G86" s="7"/>
    </row>
    <row r="87" spans="1:7">
      <c r="A87" s="340" t="str">
        <f ca="1">Start.listina!I93</f>
        <v/>
      </c>
      <c r="B87" s="386" t="str">
        <f ca="1">Start.listina!J93</f>
        <v xml:space="preserve"> </v>
      </c>
      <c r="C87" s="340" t="str">
        <f ca="1">Start.listina!K93</f>
        <v xml:space="preserve"> </v>
      </c>
      <c r="D87" s="340" t="str">
        <f ca="1">Start.listina!L93</f>
        <v xml:space="preserve"> </v>
      </c>
      <c r="E87" s="340">
        <f ca="1">Start.listina!M93</f>
        <v>9999</v>
      </c>
      <c r="F87" s="340">
        <f ca="1">Start.listina!N93</f>
        <v>0</v>
      </c>
      <c r="G87" s="7"/>
    </row>
    <row r="88" spans="1:7">
      <c r="A88" s="340" t="str">
        <f ca="1">Start.listina!I94</f>
        <v/>
      </c>
      <c r="B88" s="386" t="str">
        <f ca="1">Start.listina!J94</f>
        <v xml:space="preserve"> </v>
      </c>
      <c r="C88" s="340" t="str">
        <f ca="1">Start.listina!K94</f>
        <v xml:space="preserve"> </v>
      </c>
      <c r="D88" s="340" t="str">
        <f ca="1">Start.listina!L94</f>
        <v xml:space="preserve"> </v>
      </c>
      <c r="E88" s="340">
        <f ca="1">Start.listina!M94</f>
        <v>9999</v>
      </c>
      <c r="F88" s="340">
        <f ca="1">Start.listina!N94</f>
        <v>0</v>
      </c>
      <c r="G88" s="7"/>
    </row>
    <row r="89" spans="1:7">
      <c r="A89" s="340" t="str">
        <f ca="1">Start.listina!I95</f>
        <v/>
      </c>
      <c r="B89" s="386" t="str">
        <f ca="1">Start.listina!J95</f>
        <v xml:space="preserve"> </v>
      </c>
      <c r="C89" s="340" t="str">
        <f ca="1">Start.listina!K95</f>
        <v xml:space="preserve"> </v>
      </c>
      <c r="D89" s="340" t="str">
        <f ca="1">Start.listina!L95</f>
        <v xml:space="preserve"> </v>
      </c>
      <c r="E89" s="340">
        <f ca="1">Start.listina!M95</f>
        <v>9999</v>
      </c>
      <c r="F89" s="340">
        <f ca="1">Start.listina!N95</f>
        <v>0</v>
      </c>
      <c r="G89" s="7"/>
    </row>
    <row r="90" spans="1:7">
      <c r="A90" s="340" t="str">
        <f ca="1">Start.listina!I96</f>
        <v/>
      </c>
      <c r="B90" s="386" t="str">
        <f ca="1">Start.listina!J96</f>
        <v xml:space="preserve"> </v>
      </c>
      <c r="C90" s="340" t="str">
        <f ca="1">Start.listina!K96</f>
        <v xml:space="preserve"> </v>
      </c>
      <c r="D90" s="340" t="str">
        <f ca="1">Start.listina!L96</f>
        <v xml:space="preserve"> </v>
      </c>
      <c r="E90" s="340">
        <f ca="1">Start.listina!M96</f>
        <v>9999</v>
      </c>
      <c r="F90" s="340">
        <f ca="1">Start.listina!N96</f>
        <v>0</v>
      </c>
      <c r="G90" s="7"/>
    </row>
    <row r="91" spans="1:7">
      <c r="A91" s="340" t="str">
        <f ca="1">Start.listina!I97</f>
        <v/>
      </c>
      <c r="B91" s="386" t="str">
        <f ca="1">Start.listina!J97</f>
        <v xml:space="preserve"> </v>
      </c>
      <c r="C91" s="340" t="str">
        <f ca="1">Start.listina!K97</f>
        <v xml:space="preserve"> </v>
      </c>
      <c r="D91" s="340" t="str">
        <f ca="1">Start.listina!L97</f>
        <v xml:space="preserve"> </v>
      </c>
      <c r="E91" s="340">
        <f ca="1">Start.listina!M97</f>
        <v>9999</v>
      </c>
      <c r="F91" s="340">
        <f ca="1">Start.listina!N97</f>
        <v>0</v>
      </c>
      <c r="G91" s="7"/>
    </row>
    <row r="92" spans="1:7">
      <c r="A92" s="340" t="str">
        <f ca="1">Start.listina!I98</f>
        <v/>
      </c>
      <c r="B92" s="386" t="str">
        <f ca="1">Start.listina!J98</f>
        <v xml:space="preserve"> </v>
      </c>
      <c r="C92" s="340" t="str">
        <f ca="1">Start.listina!K98</f>
        <v xml:space="preserve"> </v>
      </c>
      <c r="D92" s="340" t="str">
        <f ca="1">Start.listina!L98</f>
        <v xml:space="preserve"> </v>
      </c>
      <c r="E92" s="340">
        <f ca="1">Start.listina!M98</f>
        <v>9999</v>
      </c>
      <c r="F92" s="340">
        <f ca="1">Start.listina!N98</f>
        <v>0</v>
      </c>
      <c r="G92" s="7"/>
    </row>
    <row r="93" spans="1:7">
      <c r="A93" s="340" t="str">
        <f ca="1">Start.listina!I99</f>
        <v/>
      </c>
      <c r="B93" s="386" t="str">
        <f ca="1">Start.listina!J99</f>
        <v xml:space="preserve"> </v>
      </c>
      <c r="C93" s="340" t="str">
        <f ca="1">Start.listina!K99</f>
        <v xml:space="preserve"> </v>
      </c>
      <c r="D93" s="340" t="str">
        <f ca="1">Start.listina!L99</f>
        <v xml:space="preserve"> </v>
      </c>
      <c r="E93" s="340">
        <f ca="1">Start.listina!M99</f>
        <v>9999</v>
      </c>
      <c r="F93" s="340">
        <f ca="1">Start.listina!N99</f>
        <v>0</v>
      </c>
      <c r="G93" s="7"/>
    </row>
    <row r="94" spans="1:7">
      <c r="A94" s="340" t="str">
        <f ca="1">Start.listina!I100</f>
        <v/>
      </c>
      <c r="B94" s="386" t="str">
        <f ca="1">Start.listina!J100</f>
        <v xml:space="preserve"> </v>
      </c>
      <c r="C94" s="340" t="str">
        <f ca="1">Start.listina!K100</f>
        <v xml:space="preserve"> </v>
      </c>
      <c r="D94" s="340" t="str">
        <f ca="1">Start.listina!L100</f>
        <v xml:space="preserve"> </v>
      </c>
      <c r="E94" s="340">
        <f ca="1">Start.listina!M100</f>
        <v>9999</v>
      </c>
      <c r="F94" s="340">
        <f ca="1">Start.listina!N100</f>
        <v>0</v>
      </c>
      <c r="G94" s="7"/>
    </row>
    <row r="95" spans="1:7">
      <c r="A95" s="340" t="str">
        <f ca="1">Start.listina!I101</f>
        <v/>
      </c>
      <c r="B95" s="386" t="str">
        <f ca="1">Start.listina!J101</f>
        <v xml:space="preserve"> </v>
      </c>
      <c r="C95" s="340" t="str">
        <f ca="1">Start.listina!K101</f>
        <v xml:space="preserve"> </v>
      </c>
      <c r="D95" s="340" t="str">
        <f ca="1">Start.listina!L101</f>
        <v xml:space="preserve"> </v>
      </c>
      <c r="E95" s="340">
        <f ca="1">Start.listina!M101</f>
        <v>9999</v>
      </c>
      <c r="F95" s="340">
        <f ca="1">Start.listina!N101</f>
        <v>0</v>
      </c>
      <c r="G95" s="7"/>
    </row>
    <row r="96" spans="1:7">
      <c r="A96" s="340" t="str">
        <f ca="1">Start.listina!I102</f>
        <v/>
      </c>
      <c r="B96" s="386" t="str">
        <f ca="1">Start.listina!J102</f>
        <v xml:space="preserve"> </v>
      </c>
      <c r="C96" s="340" t="str">
        <f ca="1">Start.listina!K102</f>
        <v xml:space="preserve"> </v>
      </c>
      <c r="D96" s="340" t="str">
        <f ca="1">Start.listina!L102</f>
        <v xml:space="preserve"> </v>
      </c>
      <c r="E96" s="340">
        <f ca="1">Start.listina!M102</f>
        <v>9999</v>
      </c>
      <c r="F96" s="340">
        <f ca="1">Start.listina!N102</f>
        <v>0</v>
      </c>
      <c r="G96" s="7"/>
    </row>
    <row r="97" spans="1:7">
      <c r="A97" s="340" t="str">
        <f ca="1">Start.listina!I103</f>
        <v/>
      </c>
      <c r="B97" s="386" t="str">
        <f ca="1">Start.listina!J103</f>
        <v xml:space="preserve"> </v>
      </c>
      <c r="C97" s="340" t="str">
        <f ca="1">Start.listina!K103</f>
        <v xml:space="preserve"> </v>
      </c>
      <c r="D97" s="340" t="str">
        <f ca="1">Start.listina!L103</f>
        <v xml:space="preserve"> </v>
      </c>
      <c r="E97" s="340">
        <f ca="1">Start.listina!M103</f>
        <v>9999</v>
      </c>
      <c r="F97" s="340">
        <f ca="1">Start.listina!N103</f>
        <v>0</v>
      </c>
      <c r="G97" s="7"/>
    </row>
    <row r="98" spans="1:7">
      <c r="A98" s="340" t="str">
        <f ca="1">Start.listina!I104</f>
        <v/>
      </c>
      <c r="B98" s="386" t="str">
        <f ca="1">Start.listina!J104</f>
        <v xml:space="preserve"> </v>
      </c>
      <c r="C98" s="340" t="str">
        <f ca="1">Start.listina!K104</f>
        <v xml:space="preserve"> </v>
      </c>
      <c r="D98" s="340" t="str">
        <f ca="1">Start.listina!L104</f>
        <v xml:space="preserve"> </v>
      </c>
      <c r="E98" s="340">
        <f ca="1">Start.listina!M104</f>
        <v>9999</v>
      </c>
      <c r="F98" s="340">
        <f ca="1">Start.listina!N104</f>
        <v>0</v>
      </c>
      <c r="G98" s="7"/>
    </row>
    <row r="99" spans="1:7">
      <c r="A99" s="340" t="str">
        <f ca="1">Start.listina!I105</f>
        <v/>
      </c>
      <c r="B99" s="386" t="str">
        <f ca="1">Start.listina!J105</f>
        <v xml:space="preserve"> </v>
      </c>
      <c r="C99" s="340" t="str">
        <f ca="1">Start.listina!K105</f>
        <v xml:space="preserve"> </v>
      </c>
      <c r="D99" s="340" t="str">
        <f ca="1">Start.listina!L105</f>
        <v xml:space="preserve"> </v>
      </c>
      <c r="E99" s="340">
        <f ca="1">Start.listina!M105</f>
        <v>9999</v>
      </c>
      <c r="F99" s="340">
        <f ca="1">Start.listina!N105</f>
        <v>0</v>
      </c>
      <c r="G99" s="7"/>
    </row>
    <row r="100" spans="1:7">
      <c r="A100" s="340" t="str">
        <f ca="1">Start.listina!I106</f>
        <v/>
      </c>
      <c r="B100" s="386" t="str">
        <f ca="1">Start.listina!J106</f>
        <v xml:space="preserve"> </v>
      </c>
      <c r="C100" s="340" t="str">
        <f ca="1">Start.listina!K106</f>
        <v xml:space="preserve"> </v>
      </c>
      <c r="D100" s="340" t="str">
        <f ca="1">Start.listina!L106</f>
        <v xml:space="preserve"> </v>
      </c>
      <c r="E100" s="340">
        <f ca="1">Start.listina!M106</f>
        <v>9999</v>
      </c>
      <c r="F100" s="340">
        <f ca="1">Start.listina!N106</f>
        <v>0</v>
      </c>
      <c r="G100" s="7"/>
    </row>
    <row r="101" spans="1:7">
      <c r="A101" s="340" t="str">
        <f ca="1">Start.listina!I107</f>
        <v/>
      </c>
      <c r="B101" s="386" t="str">
        <f ca="1">Start.listina!J107</f>
        <v xml:space="preserve"> </v>
      </c>
      <c r="C101" s="340" t="str">
        <f ca="1">Start.listina!K107</f>
        <v xml:space="preserve"> </v>
      </c>
      <c r="D101" s="340" t="str">
        <f ca="1">Start.listina!L107</f>
        <v xml:space="preserve"> </v>
      </c>
      <c r="E101" s="340">
        <f ca="1">Start.listina!M107</f>
        <v>9999</v>
      </c>
      <c r="F101" s="340">
        <f ca="1">Start.listina!N107</f>
        <v>0</v>
      </c>
      <c r="G101" s="7"/>
    </row>
    <row r="102" spans="1:7">
      <c r="A102" s="340" t="str">
        <f ca="1">Start.listina!I108</f>
        <v/>
      </c>
      <c r="B102" s="386" t="str">
        <f ca="1">Start.listina!J108</f>
        <v xml:space="preserve"> </v>
      </c>
      <c r="C102" s="340" t="str">
        <f ca="1">Start.listina!K108</f>
        <v xml:space="preserve"> </v>
      </c>
      <c r="D102" s="340" t="str">
        <f ca="1">Start.listina!L108</f>
        <v xml:space="preserve"> </v>
      </c>
      <c r="E102" s="340">
        <f ca="1">Start.listina!M108</f>
        <v>9999</v>
      </c>
      <c r="F102" s="340">
        <f ca="1">Start.listina!N108</f>
        <v>0</v>
      </c>
      <c r="G102" s="7"/>
    </row>
    <row r="103" spans="1:7">
      <c r="A103" s="340" t="str">
        <f ca="1">Start.listina!I109</f>
        <v/>
      </c>
      <c r="B103" s="386" t="str">
        <f ca="1">Start.listina!J109</f>
        <v xml:space="preserve"> </v>
      </c>
      <c r="C103" s="340" t="str">
        <f ca="1">Start.listina!K109</f>
        <v xml:space="preserve"> </v>
      </c>
      <c r="D103" s="340" t="str">
        <f ca="1">Start.listina!L109</f>
        <v xml:space="preserve"> </v>
      </c>
      <c r="E103" s="340">
        <f ca="1">Start.listina!M109</f>
        <v>9999</v>
      </c>
      <c r="F103" s="340">
        <f ca="1">Start.listina!N109</f>
        <v>0</v>
      </c>
      <c r="G103" s="7"/>
    </row>
    <row r="104" spans="1:7">
      <c r="A104" s="340" t="str">
        <f ca="1">Start.listina!I110</f>
        <v/>
      </c>
      <c r="B104" s="386" t="str">
        <f ca="1">Start.listina!J110</f>
        <v xml:space="preserve"> </v>
      </c>
      <c r="C104" s="340" t="str">
        <f ca="1">Start.listina!K110</f>
        <v xml:space="preserve"> </v>
      </c>
      <c r="D104" s="340" t="str">
        <f ca="1">Start.listina!L110</f>
        <v xml:space="preserve"> </v>
      </c>
      <c r="E104" s="340">
        <f ca="1">Start.listina!M110</f>
        <v>9999</v>
      </c>
      <c r="F104" s="340">
        <f ca="1">Start.listina!N110</f>
        <v>0</v>
      </c>
      <c r="G104" s="7"/>
    </row>
    <row r="105" spans="1:7">
      <c r="A105" s="340" t="str">
        <f ca="1">Start.listina!I111</f>
        <v/>
      </c>
      <c r="B105" s="386" t="str">
        <f ca="1">Start.listina!J111</f>
        <v xml:space="preserve"> </v>
      </c>
      <c r="C105" s="340" t="str">
        <f ca="1">Start.listina!K111</f>
        <v xml:space="preserve"> </v>
      </c>
      <c r="D105" s="340" t="str">
        <f ca="1">Start.listina!L111</f>
        <v xml:space="preserve"> </v>
      </c>
      <c r="E105" s="340">
        <f ca="1">Start.listina!M111</f>
        <v>9999</v>
      </c>
      <c r="F105" s="340">
        <f ca="1">Start.listina!N111</f>
        <v>0</v>
      </c>
      <c r="G105" s="7"/>
    </row>
    <row r="106" spans="1:7">
      <c r="A106" s="340" t="str">
        <f ca="1">Start.listina!I112</f>
        <v/>
      </c>
      <c r="B106" s="386" t="str">
        <f ca="1">Start.listina!J112</f>
        <v xml:space="preserve"> </v>
      </c>
      <c r="C106" s="340" t="str">
        <f ca="1">Start.listina!K112</f>
        <v xml:space="preserve"> </v>
      </c>
      <c r="D106" s="340" t="str">
        <f ca="1">Start.listina!L112</f>
        <v xml:space="preserve"> </v>
      </c>
      <c r="E106" s="340">
        <f ca="1">Start.listina!M112</f>
        <v>9999</v>
      </c>
      <c r="F106" s="340">
        <f ca="1">Start.listina!N112</f>
        <v>0</v>
      </c>
      <c r="G106" s="7"/>
    </row>
    <row r="107" spans="1:7">
      <c r="A107" s="340" t="str">
        <f ca="1">Start.listina!I113</f>
        <v/>
      </c>
      <c r="B107" s="386" t="str">
        <f ca="1">Start.listina!J113</f>
        <v xml:space="preserve"> </v>
      </c>
      <c r="C107" s="340" t="str">
        <f ca="1">Start.listina!K113</f>
        <v xml:space="preserve"> </v>
      </c>
      <c r="D107" s="340" t="str">
        <f ca="1">Start.listina!L113</f>
        <v xml:space="preserve"> </v>
      </c>
      <c r="E107" s="340">
        <f ca="1">Start.listina!M113</f>
        <v>9999</v>
      </c>
      <c r="F107" s="340">
        <f ca="1">Start.listina!N113</f>
        <v>0</v>
      </c>
      <c r="G107" s="7"/>
    </row>
    <row r="108" spans="1:7">
      <c r="A108" s="340" t="str">
        <f ca="1">Start.listina!I114</f>
        <v/>
      </c>
      <c r="B108" s="386" t="str">
        <f ca="1">Start.listina!J114</f>
        <v xml:space="preserve"> </v>
      </c>
      <c r="C108" s="340" t="str">
        <f ca="1">Start.listina!K114</f>
        <v xml:space="preserve"> </v>
      </c>
      <c r="D108" s="340" t="str">
        <f ca="1">Start.listina!L114</f>
        <v xml:space="preserve"> </v>
      </c>
      <c r="E108" s="340">
        <f ca="1">Start.listina!M114</f>
        <v>9999</v>
      </c>
      <c r="F108" s="340">
        <f ca="1">Start.listina!N114</f>
        <v>0</v>
      </c>
      <c r="G108" s="7"/>
    </row>
    <row r="109" spans="1:7">
      <c r="A109" s="340" t="str">
        <f ca="1">Start.listina!I115</f>
        <v/>
      </c>
      <c r="B109" s="386" t="str">
        <f ca="1">Start.listina!J115</f>
        <v xml:space="preserve"> </v>
      </c>
      <c r="C109" s="340" t="str">
        <f ca="1">Start.listina!K115</f>
        <v xml:space="preserve"> </v>
      </c>
      <c r="D109" s="340" t="str">
        <f ca="1">Start.listina!L115</f>
        <v xml:space="preserve"> </v>
      </c>
      <c r="E109" s="340">
        <f ca="1">Start.listina!M115</f>
        <v>9999</v>
      </c>
      <c r="F109" s="340">
        <f ca="1">Start.listina!N115</f>
        <v>0</v>
      </c>
      <c r="G109" s="7"/>
    </row>
    <row r="110" spans="1:7">
      <c r="A110" s="340" t="str">
        <f ca="1">Start.listina!I116</f>
        <v/>
      </c>
      <c r="B110" s="386" t="str">
        <f ca="1">Start.listina!J116</f>
        <v xml:space="preserve"> </v>
      </c>
      <c r="C110" s="340" t="str">
        <f ca="1">Start.listina!K116</f>
        <v xml:space="preserve"> </v>
      </c>
      <c r="D110" s="340" t="str">
        <f ca="1">Start.listina!L116</f>
        <v xml:space="preserve"> </v>
      </c>
      <c r="E110" s="340">
        <f ca="1">Start.listina!M116</f>
        <v>9999</v>
      </c>
      <c r="F110" s="340">
        <f ca="1">Start.listina!N116</f>
        <v>0</v>
      </c>
      <c r="G110" s="7"/>
    </row>
    <row r="111" spans="1:7">
      <c r="A111" s="340" t="str">
        <f ca="1">Start.listina!I117</f>
        <v/>
      </c>
      <c r="B111" s="386" t="str">
        <f ca="1">Start.listina!J117</f>
        <v xml:space="preserve"> </v>
      </c>
      <c r="C111" s="340" t="str">
        <f ca="1">Start.listina!K117</f>
        <v xml:space="preserve"> </v>
      </c>
      <c r="D111" s="340" t="str">
        <f ca="1">Start.listina!L117</f>
        <v xml:space="preserve"> </v>
      </c>
      <c r="E111" s="340">
        <f ca="1">Start.listina!M117</f>
        <v>9999</v>
      </c>
      <c r="F111" s="340">
        <f ca="1">Start.listina!N117</f>
        <v>0</v>
      </c>
      <c r="G111" s="7"/>
    </row>
    <row r="112" spans="1:7">
      <c r="A112" s="340" t="str">
        <f ca="1">Start.listina!I118</f>
        <v/>
      </c>
      <c r="B112" s="386" t="str">
        <f ca="1">Start.listina!J118</f>
        <v xml:space="preserve"> </v>
      </c>
      <c r="C112" s="340" t="str">
        <f ca="1">Start.listina!K118</f>
        <v xml:space="preserve"> </v>
      </c>
      <c r="D112" s="340" t="str">
        <f ca="1">Start.listina!L118</f>
        <v xml:space="preserve"> </v>
      </c>
      <c r="E112" s="340">
        <f ca="1">Start.listina!M118</f>
        <v>9999</v>
      </c>
      <c r="F112" s="340">
        <f ca="1">Start.listina!N118</f>
        <v>0</v>
      </c>
      <c r="G112" s="7"/>
    </row>
    <row r="113" spans="1:7">
      <c r="A113" s="340" t="str">
        <f ca="1">Start.listina!I119</f>
        <v/>
      </c>
      <c r="B113" s="386" t="str">
        <f ca="1">Start.listina!J119</f>
        <v xml:space="preserve"> </v>
      </c>
      <c r="C113" s="340" t="str">
        <f ca="1">Start.listina!K119</f>
        <v xml:space="preserve"> </v>
      </c>
      <c r="D113" s="340" t="str">
        <f ca="1">Start.listina!L119</f>
        <v xml:space="preserve"> </v>
      </c>
      <c r="E113" s="340">
        <f ca="1">Start.listina!M119</f>
        <v>9999</v>
      </c>
      <c r="F113" s="340">
        <f ca="1">Start.listina!N119</f>
        <v>0</v>
      </c>
      <c r="G113" s="7"/>
    </row>
    <row r="114" spans="1:7">
      <c r="A114" s="340" t="str">
        <f ca="1">Start.listina!I120</f>
        <v/>
      </c>
      <c r="B114" s="386" t="str">
        <f ca="1">Start.listina!J120</f>
        <v xml:space="preserve"> </v>
      </c>
      <c r="C114" s="340" t="str">
        <f ca="1">Start.listina!K120</f>
        <v xml:space="preserve"> </v>
      </c>
      <c r="D114" s="340" t="str">
        <f ca="1">Start.listina!L120</f>
        <v xml:space="preserve"> </v>
      </c>
      <c r="E114" s="340">
        <f ca="1">Start.listina!M120</f>
        <v>9999</v>
      </c>
      <c r="F114" s="340">
        <f ca="1">Start.listina!N120</f>
        <v>0</v>
      </c>
      <c r="G114" s="7"/>
    </row>
    <row r="115" spans="1:7">
      <c r="A115" s="340" t="str">
        <f ca="1">Start.listina!I121</f>
        <v/>
      </c>
      <c r="B115" s="386" t="str">
        <f ca="1">Start.listina!J121</f>
        <v xml:space="preserve"> </v>
      </c>
      <c r="C115" s="340" t="str">
        <f ca="1">Start.listina!K121</f>
        <v xml:space="preserve"> </v>
      </c>
      <c r="D115" s="340" t="str">
        <f ca="1">Start.listina!L121</f>
        <v xml:space="preserve"> </v>
      </c>
      <c r="E115" s="340">
        <f ca="1">Start.listina!M121</f>
        <v>9999</v>
      </c>
      <c r="F115" s="340">
        <f ca="1">Start.listina!N121</f>
        <v>0</v>
      </c>
      <c r="G115" s="7"/>
    </row>
    <row r="116" spans="1:7">
      <c r="A116" s="340" t="str">
        <f ca="1">Start.listina!I122</f>
        <v/>
      </c>
      <c r="B116" s="386" t="str">
        <f ca="1">Start.listina!J122</f>
        <v xml:space="preserve"> </v>
      </c>
      <c r="C116" s="340" t="str">
        <f ca="1">Start.listina!K122</f>
        <v xml:space="preserve"> </v>
      </c>
      <c r="D116" s="340" t="str">
        <f ca="1">Start.listina!L122</f>
        <v xml:space="preserve"> </v>
      </c>
      <c r="E116" s="340">
        <f ca="1">Start.listina!M122</f>
        <v>9999</v>
      </c>
      <c r="F116" s="340">
        <f ca="1">Start.listina!N122</f>
        <v>0</v>
      </c>
      <c r="G116" s="7"/>
    </row>
    <row r="117" spans="1:7">
      <c r="A117" s="340" t="str">
        <f ca="1">Start.listina!I123</f>
        <v/>
      </c>
      <c r="B117" s="386" t="str">
        <f ca="1">Start.listina!J123</f>
        <v xml:space="preserve"> </v>
      </c>
      <c r="C117" s="340" t="str">
        <f ca="1">Start.listina!K123</f>
        <v xml:space="preserve"> </v>
      </c>
      <c r="D117" s="340" t="str">
        <f ca="1">Start.listina!L123</f>
        <v xml:space="preserve"> </v>
      </c>
      <c r="E117" s="340">
        <f ca="1">Start.listina!M123</f>
        <v>9999</v>
      </c>
      <c r="F117" s="340">
        <f ca="1">Start.listina!N123</f>
        <v>0</v>
      </c>
      <c r="G117" s="7"/>
    </row>
    <row r="118" spans="1:7">
      <c r="A118" s="340" t="str">
        <f ca="1">Start.listina!I124</f>
        <v/>
      </c>
      <c r="B118" s="386" t="str">
        <f ca="1">Start.listina!J124</f>
        <v xml:space="preserve"> </v>
      </c>
      <c r="C118" s="340" t="str">
        <f ca="1">Start.listina!K124</f>
        <v xml:space="preserve"> </v>
      </c>
      <c r="D118" s="340" t="str">
        <f ca="1">Start.listina!L124</f>
        <v xml:space="preserve"> </v>
      </c>
      <c r="E118" s="340">
        <f ca="1">Start.listina!M124</f>
        <v>9999</v>
      </c>
      <c r="F118" s="340">
        <f ca="1">Start.listina!N124</f>
        <v>0</v>
      </c>
      <c r="G118" s="7"/>
    </row>
    <row r="119" spans="1:7">
      <c r="A119" s="340" t="str">
        <f ca="1">Start.listina!I125</f>
        <v/>
      </c>
      <c r="B119" s="386" t="str">
        <f ca="1">Start.listina!J125</f>
        <v xml:space="preserve"> </v>
      </c>
      <c r="C119" s="340" t="str">
        <f ca="1">Start.listina!K125</f>
        <v xml:space="preserve"> </v>
      </c>
      <c r="D119" s="340" t="str">
        <f ca="1">Start.listina!L125</f>
        <v xml:space="preserve"> </v>
      </c>
      <c r="E119" s="340">
        <f ca="1">Start.listina!M125</f>
        <v>9999</v>
      </c>
      <c r="F119" s="340">
        <f ca="1">Start.listina!N125</f>
        <v>0</v>
      </c>
      <c r="G119" s="7"/>
    </row>
    <row r="120" spans="1:7">
      <c r="A120" s="340" t="str">
        <f ca="1">Start.listina!I126</f>
        <v/>
      </c>
      <c r="B120" s="386" t="str">
        <f ca="1">Start.listina!J126</f>
        <v xml:space="preserve"> </v>
      </c>
      <c r="C120" s="340" t="str">
        <f ca="1">Start.listina!K126</f>
        <v xml:space="preserve"> </v>
      </c>
      <c r="D120" s="340" t="str">
        <f ca="1">Start.listina!L126</f>
        <v xml:space="preserve"> </v>
      </c>
      <c r="E120" s="340">
        <f ca="1">Start.listina!M126</f>
        <v>9999</v>
      </c>
      <c r="F120" s="340">
        <f ca="1">Start.listina!N126</f>
        <v>0</v>
      </c>
      <c r="G120" s="7"/>
    </row>
    <row r="121" spans="1:7">
      <c r="A121" s="340" t="str">
        <f ca="1">Start.listina!I127</f>
        <v/>
      </c>
      <c r="B121" s="386" t="str">
        <f ca="1">Start.listina!J127</f>
        <v xml:space="preserve"> </v>
      </c>
      <c r="C121" s="340" t="str">
        <f ca="1">Start.listina!K127</f>
        <v xml:space="preserve"> </v>
      </c>
      <c r="D121" s="340" t="str">
        <f ca="1">Start.listina!L127</f>
        <v xml:space="preserve"> </v>
      </c>
      <c r="E121" s="340">
        <f ca="1">Start.listina!M127</f>
        <v>9999</v>
      </c>
      <c r="F121" s="340">
        <f ca="1">Start.listina!N127</f>
        <v>0</v>
      </c>
      <c r="G121" s="7"/>
    </row>
    <row r="122" spans="1:7">
      <c r="A122" s="340" t="str">
        <f ca="1">Start.listina!I128</f>
        <v/>
      </c>
      <c r="B122" s="386" t="str">
        <f ca="1">Start.listina!J128</f>
        <v xml:space="preserve"> </v>
      </c>
      <c r="C122" s="340" t="str">
        <f ca="1">Start.listina!K128</f>
        <v xml:space="preserve"> </v>
      </c>
      <c r="D122" s="340" t="str">
        <f ca="1">Start.listina!L128</f>
        <v xml:space="preserve"> </v>
      </c>
      <c r="E122" s="340">
        <f ca="1">Start.listina!M128</f>
        <v>9999</v>
      </c>
      <c r="F122" s="340">
        <f ca="1">Start.listina!N128</f>
        <v>0</v>
      </c>
      <c r="G122" s="7"/>
    </row>
    <row r="123" spans="1:7">
      <c r="A123" s="340" t="str">
        <f ca="1">Start.listina!I129</f>
        <v/>
      </c>
      <c r="B123" s="386" t="str">
        <f ca="1">Start.listina!J129</f>
        <v xml:space="preserve"> </v>
      </c>
      <c r="C123" s="340" t="str">
        <f ca="1">Start.listina!K129</f>
        <v xml:space="preserve"> </v>
      </c>
      <c r="D123" s="340" t="str">
        <f ca="1">Start.listina!L129</f>
        <v xml:space="preserve"> </v>
      </c>
      <c r="E123" s="340">
        <f ca="1">Start.listina!M129</f>
        <v>9999</v>
      </c>
      <c r="F123" s="340">
        <f ca="1">Start.listina!N129</f>
        <v>0</v>
      </c>
      <c r="G123" s="7"/>
    </row>
    <row r="124" spans="1:7">
      <c r="A124" s="340" t="str">
        <f ca="1">Start.listina!I130</f>
        <v/>
      </c>
      <c r="B124" s="386" t="str">
        <f ca="1">Start.listina!J130</f>
        <v xml:space="preserve"> </v>
      </c>
      <c r="C124" s="340" t="str">
        <f ca="1">Start.listina!K130</f>
        <v xml:space="preserve"> </v>
      </c>
      <c r="D124" s="340" t="str">
        <f ca="1">Start.listina!L130</f>
        <v xml:space="preserve"> </v>
      </c>
      <c r="E124" s="340">
        <f ca="1">Start.listina!M130</f>
        <v>9999</v>
      </c>
      <c r="F124" s="340">
        <f ca="1">Start.listina!N130</f>
        <v>0</v>
      </c>
      <c r="G124" s="7"/>
    </row>
    <row r="125" spans="1:7">
      <c r="A125" s="340" t="str">
        <f ca="1">Start.listina!I131</f>
        <v/>
      </c>
      <c r="B125" s="386" t="str">
        <f ca="1">Start.listina!J131</f>
        <v xml:space="preserve"> </v>
      </c>
      <c r="C125" s="340" t="str">
        <f ca="1">Start.listina!K131</f>
        <v xml:space="preserve"> </v>
      </c>
      <c r="D125" s="340" t="str">
        <f ca="1">Start.listina!L131</f>
        <v xml:space="preserve"> </v>
      </c>
      <c r="E125" s="340">
        <f ca="1">Start.listina!M131</f>
        <v>9999</v>
      </c>
      <c r="F125" s="340">
        <f ca="1">Start.listina!N131</f>
        <v>0</v>
      </c>
      <c r="G125" s="7"/>
    </row>
    <row r="126" spans="1:7">
      <c r="A126" s="340" t="str">
        <f ca="1">Start.listina!I132</f>
        <v/>
      </c>
      <c r="B126" s="386" t="str">
        <f ca="1">Start.listina!J132</f>
        <v xml:space="preserve"> </v>
      </c>
      <c r="C126" s="340" t="str">
        <f ca="1">Start.listina!K132</f>
        <v xml:space="preserve"> </v>
      </c>
      <c r="D126" s="340" t="str">
        <f ca="1">Start.listina!L132</f>
        <v xml:space="preserve"> </v>
      </c>
      <c r="E126" s="340">
        <f ca="1">Start.listina!M132</f>
        <v>9999</v>
      </c>
      <c r="F126" s="340">
        <f ca="1">Start.listina!N132</f>
        <v>0</v>
      </c>
      <c r="G126" s="7"/>
    </row>
    <row r="127" spans="1:7">
      <c r="A127" s="340" t="str">
        <f ca="1">Start.listina!I133</f>
        <v/>
      </c>
      <c r="B127" s="386" t="str">
        <f ca="1">Start.listina!J133</f>
        <v xml:space="preserve"> </v>
      </c>
      <c r="C127" s="340" t="str">
        <f ca="1">Start.listina!K133</f>
        <v xml:space="preserve"> </v>
      </c>
      <c r="D127" s="340" t="str">
        <f ca="1">Start.listina!L133</f>
        <v xml:space="preserve"> </v>
      </c>
      <c r="E127" s="340">
        <f ca="1">Start.listina!M133</f>
        <v>9999</v>
      </c>
      <c r="F127" s="340">
        <f ca="1">Start.listina!N133</f>
        <v>0</v>
      </c>
      <c r="G127" s="7"/>
    </row>
    <row r="128" spans="1:7">
      <c r="A128" s="340" t="str">
        <f ca="1">Start.listina!I134</f>
        <v/>
      </c>
      <c r="B128" s="386" t="str">
        <f ca="1">Start.listina!J134</f>
        <v xml:space="preserve"> </v>
      </c>
      <c r="C128" s="340" t="str">
        <f ca="1">Start.listina!K134</f>
        <v xml:space="preserve"> </v>
      </c>
      <c r="D128" s="340" t="str">
        <f ca="1">Start.listina!L134</f>
        <v xml:space="preserve"> </v>
      </c>
      <c r="E128" s="340">
        <f ca="1">Start.listina!M134</f>
        <v>9999</v>
      </c>
      <c r="F128" s="340">
        <f ca="1">Start.listina!N134</f>
        <v>0</v>
      </c>
      <c r="G128" s="7"/>
    </row>
    <row r="129" spans="1:7">
      <c r="A129" s="340" t="str">
        <f ca="1">Start.listina!I135</f>
        <v/>
      </c>
      <c r="B129" s="386" t="str">
        <f ca="1">Start.listina!J135</f>
        <v xml:space="preserve"> </v>
      </c>
      <c r="C129" s="340" t="str">
        <f ca="1">Start.listina!K135</f>
        <v xml:space="preserve"> </v>
      </c>
      <c r="D129" s="340" t="str">
        <f ca="1">Start.listina!L135</f>
        <v xml:space="preserve"> </v>
      </c>
      <c r="E129" s="340">
        <f ca="1">Start.listina!M135</f>
        <v>9999</v>
      </c>
      <c r="F129" s="340">
        <f ca="1">Start.listina!N135</f>
        <v>0</v>
      </c>
      <c r="G129" s="7"/>
    </row>
    <row r="130" spans="1:7">
      <c r="A130" s="340" t="str">
        <f ca="1">Start.listina!I136</f>
        <v/>
      </c>
      <c r="B130" s="386" t="str">
        <f ca="1">Start.listina!J136</f>
        <v xml:space="preserve"> </v>
      </c>
      <c r="C130" s="340" t="str">
        <f ca="1">Start.listina!K136</f>
        <v xml:space="preserve"> </v>
      </c>
      <c r="D130" s="340" t="str">
        <f ca="1">Start.listina!L136</f>
        <v xml:space="preserve"> </v>
      </c>
      <c r="E130" s="340">
        <f ca="1">Start.listina!M136</f>
        <v>9999</v>
      </c>
      <c r="F130" s="340">
        <f ca="1">Start.listina!N136</f>
        <v>0</v>
      </c>
      <c r="G130" s="7"/>
    </row>
    <row r="131" spans="1:7">
      <c r="A131" s="340" t="str">
        <f ca="1">Start.listina!I137</f>
        <v/>
      </c>
      <c r="B131" s="386" t="str">
        <f ca="1">Start.listina!J137</f>
        <v xml:space="preserve"> </v>
      </c>
      <c r="C131" s="340" t="str">
        <f ca="1">Start.listina!K137</f>
        <v xml:space="preserve"> </v>
      </c>
      <c r="D131" s="340" t="str">
        <f ca="1">Start.listina!L137</f>
        <v xml:space="preserve"> </v>
      </c>
      <c r="E131" s="340">
        <f ca="1">Start.listina!M137</f>
        <v>9999</v>
      </c>
      <c r="F131" s="340">
        <f ca="1">Start.listina!N137</f>
        <v>0</v>
      </c>
      <c r="G131" s="7"/>
    </row>
    <row r="132" spans="1:7">
      <c r="A132" s="340" t="str">
        <f ca="1">Start.listina!I138</f>
        <v/>
      </c>
      <c r="B132" s="386" t="str">
        <f ca="1">Start.listina!J138</f>
        <v xml:space="preserve"> </v>
      </c>
      <c r="C132" s="340" t="str">
        <f ca="1">Start.listina!K138</f>
        <v xml:space="preserve"> </v>
      </c>
      <c r="D132" s="340" t="str">
        <f ca="1">Start.listina!L138</f>
        <v xml:space="preserve"> </v>
      </c>
      <c r="E132" s="340">
        <f ca="1">Start.listina!M138</f>
        <v>9999</v>
      </c>
      <c r="F132" s="340">
        <f ca="1">Start.listina!N138</f>
        <v>0</v>
      </c>
      <c r="G132" s="7"/>
    </row>
    <row r="133" spans="1:7">
      <c r="A133" s="340" t="str">
        <f ca="1">Start.listina!I139</f>
        <v/>
      </c>
      <c r="B133" s="386" t="str">
        <f ca="1">Start.listina!J139</f>
        <v xml:space="preserve"> </v>
      </c>
      <c r="C133" s="340" t="str">
        <f ca="1">Start.listina!K139</f>
        <v xml:space="preserve"> </v>
      </c>
      <c r="D133" s="340" t="str">
        <f ca="1">Start.listina!L139</f>
        <v xml:space="preserve"> </v>
      </c>
      <c r="E133" s="340">
        <f ca="1">Start.listina!M139</f>
        <v>9999</v>
      </c>
      <c r="F133" s="340">
        <f ca="1">Start.listina!N139</f>
        <v>0</v>
      </c>
      <c r="G133" s="7"/>
    </row>
    <row r="134" spans="1:7">
      <c r="A134" s="340" t="str">
        <f ca="1">Start.listina!I140</f>
        <v/>
      </c>
      <c r="B134" s="386" t="str">
        <f ca="1">Start.listina!J140</f>
        <v xml:space="preserve"> </v>
      </c>
      <c r="C134" s="340" t="str">
        <f ca="1">Start.listina!K140</f>
        <v xml:space="preserve"> </v>
      </c>
      <c r="D134" s="340" t="str">
        <f ca="1">Start.listina!L140</f>
        <v xml:space="preserve"> </v>
      </c>
      <c r="E134" s="340">
        <f ca="1">Start.listina!M140</f>
        <v>9999</v>
      </c>
      <c r="F134" s="340">
        <f ca="1">Start.listina!N140</f>
        <v>0</v>
      </c>
      <c r="G134" s="7"/>
    </row>
    <row r="135" spans="1:7">
      <c r="A135" s="340" t="str">
        <f ca="1">Start.listina!I141</f>
        <v/>
      </c>
      <c r="B135" s="386" t="str">
        <f ca="1">Start.listina!J141</f>
        <v xml:space="preserve"> </v>
      </c>
      <c r="C135" s="340" t="str">
        <f ca="1">Start.listina!K141</f>
        <v xml:space="preserve"> </v>
      </c>
      <c r="D135" s="340" t="str">
        <f ca="1">Start.listina!L141</f>
        <v xml:space="preserve"> </v>
      </c>
      <c r="E135" s="340">
        <f ca="1">Start.listina!M141</f>
        <v>9999</v>
      </c>
      <c r="F135" s="340">
        <f ca="1">Start.listina!N141</f>
        <v>0</v>
      </c>
      <c r="G135" s="7"/>
    </row>
    <row r="136" spans="1:7">
      <c r="A136" s="340" t="str">
        <f ca="1">Start.listina!I142</f>
        <v/>
      </c>
      <c r="B136" s="386" t="str">
        <f ca="1">Start.listina!J142</f>
        <v xml:space="preserve"> </v>
      </c>
      <c r="C136" s="340" t="str">
        <f ca="1">Start.listina!K142</f>
        <v xml:space="preserve"> </v>
      </c>
      <c r="D136" s="340" t="str">
        <f ca="1">Start.listina!L142</f>
        <v xml:space="preserve"> </v>
      </c>
      <c r="E136" s="340">
        <f ca="1">Start.listina!M142</f>
        <v>9999</v>
      </c>
      <c r="F136" s="340">
        <f ca="1">Start.listina!N142</f>
        <v>0</v>
      </c>
      <c r="G136" s="7"/>
    </row>
    <row r="137" spans="1:7">
      <c r="A137" s="340" t="str">
        <f ca="1">Start.listina!I143</f>
        <v/>
      </c>
      <c r="B137" s="386" t="str">
        <f ca="1">Start.listina!J143</f>
        <v xml:space="preserve"> </v>
      </c>
      <c r="C137" s="340" t="str">
        <f ca="1">Start.listina!K143</f>
        <v xml:space="preserve"> </v>
      </c>
      <c r="D137" s="340" t="str">
        <f ca="1">Start.listina!L143</f>
        <v xml:space="preserve"> </v>
      </c>
      <c r="E137" s="340">
        <f ca="1">Start.listina!M143</f>
        <v>9999</v>
      </c>
      <c r="F137" s="340">
        <f ca="1">Start.listina!N143</f>
        <v>0</v>
      </c>
      <c r="G137" s="7"/>
    </row>
    <row r="138" spans="1:7">
      <c r="A138" s="340" t="str">
        <f ca="1">Start.listina!I144</f>
        <v/>
      </c>
      <c r="B138" s="386" t="str">
        <f ca="1">Start.listina!J144</f>
        <v xml:space="preserve"> </v>
      </c>
      <c r="C138" s="340" t="str">
        <f ca="1">Start.listina!K144</f>
        <v xml:space="preserve"> </v>
      </c>
      <c r="D138" s="340" t="str">
        <f ca="1">Start.listina!L144</f>
        <v xml:space="preserve"> </v>
      </c>
      <c r="E138" s="340">
        <f ca="1">Start.listina!M144</f>
        <v>9999</v>
      </c>
      <c r="F138" s="340">
        <f ca="1">Start.listina!N144</f>
        <v>0</v>
      </c>
      <c r="G138" s="7"/>
    </row>
    <row r="139" spans="1:7">
      <c r="A139" s="340" t="str">
        <f ca="1">Start.listina!I145</f>
        <v/>
      </c>
      <c r="B139" s="386" t="str">
        <f ca="1">Start.listina!J145</f>
        <v xml:space="preserve"> </v>
      </c>
      <c r="C139" s="340" t="str">
        <f ca="1">Start.listina!K145</f>
        <v xml:space="preserve"> </v>
      </c>
      <c r="D139" s="340" t="str">
        <f ca="1">Start.listina!L145</f>
        <v xml:space="preserve"> </v>
      </c>
      <c r="E139" s="340">
        <f ca="1">Start.listina!M145</f>
        <v>9999</v>
      </c>
      <c r="F139" s="340">
        <f ca="1">Start.listina!N145</f>
        <v>0</v>
      </c>
      <c r="G139" s="7"/>
    </row>
    <row r="140" spans="1:7">
      <c r="A140" s="340" t="str">
        <f ca="1">Start.listina!I146</f>
        <v/>
      </c>
      <c r="B140" s="386" t="str">
        <f ca="1">Start.listina!J146</f>
        <v xml:space="preserve"> </v>
      </c>
      <c r="C140" s="340" t="str">
        <f ca="1">Start.listina!K146</f>
        <v xml:space="preserve"> </v>
      </c>
      <c r="D140" s="340" t="str">
        <f ca="1">Start.listina!L146</f>
        <v xml:space="preserve"> </v>
      </c>
      <c r="E140" s="340">
        <f ca="1">Start.listina!M146</f>
        <v>9999</v>
      </c>
      <c r="F140" s="340">
        <f ca="1">Start.listina!N146</f>
        <v>0</v>
      </c>
      <c r="G140" s="7"/>
    </row>
    <row r="141" spans="1:7">
      <c r="A141" s="340" t="str">
        <f ca="1">Start.listina!I147</f>
        <v/>
      </c>
      <c r="B141" s="386" t="str">
        <f ca="1">Start.listina!J147</f>
        <v xml:space="preserve"> </v>
      </c>
      <c r="C141" s="340" t="str">
        <f ca="1">Start.listina!K147</f>
        <v xml:space="preserve"> </v>
      </c>
      <c r="D141" s="340" t="str">
        <f ca="1">Start.listina!L147</f>
        <v xml:space="preserve"> </v>
      </c>
      <c r="E141" s="340">
        <f ca="1">Start.listina!M147</f>
        <v>9999</v>
      </c>
      <c r="F141" s="340">
        <f ca="1">Start.listina!N147</f>
        <v>0</v>
      </c>
      <c r="G141" s="7"/>
    </row>
    <row r="142" spans="1:7">
      <c r="A142" s="340" t="str">
        <f ca="1">Start.listina!I148</f>
        <v/>
      </c>
      <c r="B142" s="386" t="str">
        <f ca="1">Start.listina!J148</f>
        <v xml:space="preserve"> </v>
      </c>
      <c r="C142" s="340" t="str">
        <f ca="1">Start.listina!K148</f>
        <v xml:space="preserve"> </v>
      </c>
      <c r="D142" s="340" t="str">
        <f ca="1">Start.listina!L148</f>
        <v xml:space="preserve"> </v>
      </c>
      <c r="E142" s="340">
        <f ca="1">Start.listina!M148</f>
        <v>9999</v>
      </c>
      <c r="F142" s="340">
        <f ca="1">Start.listina!N148</f>
        <v>0</v>
      </c>
      <c r="G142" s="7"/>
    </row>
    <row r="143" spans="1:7">
      <c r="A143" s="340">
        <f ca="1">Start.listina!O11</f>
        <v>11039</v>
      </c>
      <c r="B143" s="386" t="str">
        <f ca="1">Start.listina!P11</f>
        <v>Lukáš</v>
      </c>
      <c r="C143" s="340" t="str">
        <f ca="1">Start.listina!Q11</f>
        <v>Vojtěch</v>
      </c>
      <c r="D143" s="340" t="str">
        <f ca="1">Start.listina!R11</f>
        <v>PLUK Jablonec</v>
      </c>
      <c r="E143" s="340">
        <f ca="1">Start.listina!S11</f>
        <v>3</v>
      </c>
      <c r="F143" s="340">
        <f ca="1">Start.listina!T11</f>
        <v>58</v>
      </c>
      <c r="G143" s="7"/>
    </row>
    <row r="144" spans="1:7">
      <c r="A144" s="340">
        <f ca="1">Start.listina!O12</f>
        <v>15058</v>
      </c>
      <c r="B144" s="386" t="str">
        <f ca="1">Start.listina!P12</f>
        <v>Zdobinský</v>
      </c>
      <c r="C144" s="340" t="str">
        <f ca="1">Start.listina!Q12</f>
        <v>Michal</v>
      </c>
      <c r="D144" s="340" t="str">
        <f ca="1">Start.listina!R12</f>
        <v>PC Sokol Lipník</v>
      </c>
      <c r="E144" s="340">
        <f ca="1">Start.listina!S12</f>
        <v>17</v>
      </c>
      <c r="F144" s="340">
        <f ca="1">Start.listina!T12</f>
        <v>40.625</v>
      </c>
      <c r="G144" s="7"/>
    </row>
    <row r="145" spans="1:7">
      <c r="A145" s="340">
        <f ca="1">Start.listina!O13</f>
        <v>99532</v>
      </c>
      <c r="B145" s="386" t="str">
        <f ca="1">Start.listina!P13</f>
        <v>Michálek</v>
      </c>
      <c r="C145" s="340" t="str">
        <f ca="1">Start.listina!Q13</f>
        <v>Ivo</v>
      </c>
      <c r="D145" s="340" t="str">
        <f ca="1">Start.listina!R13</f>
        <v>Carreau Brno</v>
      </c>
      <c r="E145" s="340">
        <f ca="1">Start.listina!S13</f>
        <v>1</v>
      </c>
      <c r="F145" s="340">
        <f ca="1">Start.listina!T13</f>
        <v>58</v>
      </c>
      <c r="G145" s="7"/>
    </row>
    <row r="146" spans="1:7">
      <c r="A146" s="340">
        <f ca="1">Start.listina!O14</f>
        <v>21755</v>
      </c>
      <c r="B146" s="386" t="str">
        <f ca="1">Start.listina!P14</f>
        <v>Valenz</v>
      </c>
      <c r="C146" s="340" t="str">
        <f ca="1">Start.listina!Q14</f>
        <v>Lukáš</v>
      </c>
      <c r="D146" s="340" t="str">
        <f ca="1">Start.listina!R14</f>
        <v>VARAN</v>
      </c>
      <c r="E146" s="340">
        <f ca="1">Start.listina!S14</f>
        <v>9</v>
      </c>
      <c r="F146" s="340">
        <f ca="1">Start.listina!T14</f>
        <v>47</v>
      </c>
      <c r="G146" s="7"/>
    </row>
    <row r="147" spans="1:7">
      <c r="A147" s="340">
        <f ca="1">Start.listina!O15</f>
        <v>12020</v>
      </c>
      <c r="B147" s="386" t="str">
        <f ca="1">Start.listina!P15</f>
        <v>Fafek</v>
      </c>
      <c r="C147" s="340" t="str">
        <f ca="1">Start.listina!Q15</f>
        <v>Petr</v>
      </c>
      <c r="D147" s="340" t="str">
        <f ca="1">Start.listina!R15</f>
        <v>PC Sokol Lipník</v>
      </c>
      <c r="E147" s="340">
        <f ca="1">Start.listina!S15</f>
        <v>8</v>
      </c>
      <c r="F147" s="340">
        <f ca="1">Start.listina!T15</f>
        <v>47.75</v>
      </c>
      <c r="G147" s="7"/>
    </row>
    <row r="148" spans="1:7">
      <c r="A148" s="340">
        <f ca="1">Start.listina!O16</f>
        <v>21756</v>
      </c>
      <c r="B148" s="386" t="str">
        <f ca="1">Start.listina!P16</f>
        <v>Tintěrová</v>
      </c>
      <c r="C148" s="340" t="str">
        <f ca="1">Start.listina!Q16</f>
        <v>Kateřina</v>
      </c>
      <c r="D148" s="340" t="str">
        <f ca="1">Start.listina!R16</f>
        <v>VARAN</v>
      </c>
      <c r="E148" s="340">
        <f ca="1">Start.listina!S16</f>
        <v>46</v>
      </c>
      <c r="F148" s="340">
        <f ca="1">Start.listina!T16</f>
        <v>32.563000000000002</v>
      </c>
      <c r="G148" s="7"/>
    </row>
    <row r="149" spans="1:7">
      <c r="A149" s="340">
        <f ca="1">Start.listina!O17</f>
        <v>99555</v>
      </c>
      <c r="B149" s="386" t="str">
        <f ca="1">Start.listina!P17</f>
        <v>Pírek</v>
      </c>
      <c r="C149" s="340" t="str">
        <f ca="1">Start.listina!Q17</f>
        <v>Martin</v>
      </c>
      <c r="D149" s="340" t="str">
        <f ca="1">Start.listina!R17</f>
        <v>HRODE KRUMSÍN</v>
      </c>
      <c r="E149" s="340">
        <f ca="1">Start.listina!S17</f>
        <v>41</v>
      </c>
      <c r="F149" s="340">
        <f ca="1">Start.listina!T17</f>
        <v>42.25</v>
      </c>
      <c r="G149" s="7"/>
    </row>
    <row r="150" spans="1:7">
      <c r="A150" s="340">
        <f ca="1">Start.listina!O18</f>
        <v>22106</v>
      </c>
      <c r="B150" s="386" t="str">
        <f ca="1">Start.listina!P18</f>
        <v>Daněk</v>
      </c>
      <c r="C150" s="340" t="str">
        <f ca="1">Start.listina!Q18</f>
        <v>Patrik</v>
      </c>
      <c r="D150" s="340" t="str">
        <f ca="1">Start.listina!R18</f>
        <v>SLOPE Brno</v>
      </c>
      <c r="E150" s="340">
        <f ca="1">Start.listina!S18</f>
        <v>75</v>
      </c>
      <c r="F150" s="340">
        <f ca="1">Start.listina!T18</f>
        <v>33.938000000000002</v>
      </c>
      <c r="G150" s="7"/>
    </row>
    <row r="151" spans="1:7">
      <c r="A151" s="340">
        <f ca="1">Start.listina!O19</f>
        <v>14074</v>
      </c>
      <c r="B151" s="386" t="str">
        <f ca="1">Start.listina!P19</f>
        <v>Froňková</v>
      </c>
      <c r="C151" s="340" t="str">
        <f ca="1">Start.listina!Q19</f>
        <v>Blanka</v>
      </c>
      <c r="D151" s="340" t="str">
        <f ca="1">Start.listina!R19</f>
        <v>PC Sokol Lipník</v>
      </c>
      <c r="E151" s="340">
        <f ca="1">Start.listina!S19</f>
        <v>38</v>
      </c>
      <c r="F151" s="340">
        <f ca="1">Start.listina!T19</f>
        <v>32.5</v>
      </c>
      <c r="G151" s="7"/>
    </row>
    <row r="152" spans="1:7">
      <c r="A152" s="340">
        <f ca="1">Start.listina!O20</f>
        <v>28055</v>
      </c>
      <c r="B152" s="386" t="str">
        <f ca="1">Start.listina!P20</f>
        <v>Svobodová</v>
      </c>
      <c r="C152" s="340" t="str">
        <f ca="1">Start.listina!Q20</f>
        <v>Lenka</v>
      </c>
      <c r="D152" s="340" t="str">
        <f ca="1">Start.listina!R20</f>
        <v>SKP Hranice VI-Valšovice</v>
      </c>
      <c r="E152" s="340">
        <f ca="1">Start.listina!S20</f>
        <v>94</v>
      </c>
      <c r="F152" s="340">
        <f ca="1">Start.listina!T20</f>
        <v>25.25</v>
      </c>
      <c r="G152" s="7"/>
    </row>
    <row r="153" spans="1:7">
      <c r="A153" s="340">
        <f ca="1">Start.listina!O21</f>
        <v>22180</v>
      </c>
      <c r="B153" s="386" t="str">
        <f ca="1">Start.listina!P21</f>
        <v>Čiviš</v>
      </c>
      <c r="C153" s="340" t="str">
        <f ca="1">Start.listina!Q21</f>
        <v>Antonín</v>
      </c>
      <c r="D153" s="340" t="str">
        <f ca="1">Start.listina!R21</f>
        <v>P.C.B.D.</v>
      </c>
      <c r="E153" s="340">
        <f ca="1">Start.listina!S21</f>
        <v>153</v>
      </c>
      <c r="F153" s="340">
        <f ca="1">Start.listina!T21</f>
        <v>33.125999999999998</v>
      </c>
      <c r="G153" s="7"/>
    </row>
    <row r="154" spans="1:7">
      <c r="A154" s="340">
        <f ca="1">Start.listina!O22</f>
        <v>16105</v>
      </c>
      <c r="B154" s="386" t="str">
        <f ca="1">Start.listina!P22</f>
        <v>Krpec</v>
      </c>
      <c r="C154" s="340" t="str">
        <f ca="1">Start.listina!Q22</f>
        <v>František</v>
      </c>
      <c r="D154" s="340" t="str">
        <f ca="1">Start.listina!R22</f>
        <v>HRODE KRUMSÍN</v>
      </c>
      <c r="E154" s="340">
        <f ca="1">Start.listina!S22</f>
        <v>71</v>
      </c>
      <c r="F154" s="340">
        <f ca="1">Start.listina!T22</f>
        <v>30.062999999999999</v>
      </c>
      <c r="G154" s="7"/>
    </row>
    <row r="155" spans="1:7">
      <c r="A155" s="340">
        <f ca="1">Start.listina!O23</f>
        <v>22181</v>
      </c>
      <c r="B155" s="386" t="str">
        <f ca="1">Start.listina!P23</f>
        <v>Brandes</v>
      </c>
      <c r="C155" s="340" t="str">
        <f ca="1">Start.listina!Q23</f>
        <v>Valter</v>
      </c>
      <c r="D155" s="340" t="str">
        <f ca="1">Start.listina!R23</f>
        <v>PC Damníkov</v>
      </c>
      <c r="E155" s="340">
        <f ca="1">Start.listina!S23</f>
        <v>48</v>
      </c>
      <c r="F155" s="340">
        <f ca="1">Start.listina!T23</f>
        <v>35.375</v>
      </c>
      <c r="G155" s="7"/>
    </row>
    <row r="156" spans="1:7">
      <c r="A156" s="340">
        <f ca="1">Start.listina!O24</f>
        <v>20676</v>
      </c>
      <c r="B156" s="386" t="str">
        <f ca="1">Start.listina!P24</f>
        <v>Hájková</v>
      </c>
      <c r="C156" s="340" t="str">
        <f ca="1">Start.listina!Q24</f>
        <v>Iveta</v>
      </c>
      <c r="D156" s="340" t="str">
        <f ca="1">Start.listina!R24</f>
        <v>PEK Stolín</v>
      </c>
      <c r="E156" s="340">
        <f ca="1">Start.listina!S24</f>
        <v>116</v>
      </c>
      <c r="F156" s="340">
        <f ca="1">Start.listina!T24</f>
        <v>28.251000000000001</v>
      </c>
      <c r="G156" s="7"/>
    </row>
    <row r="157" spans="1:7">
      <c r="A157" s="340">
        <f ca="1">Start.listina!O25</f>
        <v>25017</v>
      </c>
      <c r="B157" s="386" t="str">
        <f ca="1">Start.listina!P25</f>
        <v>Radoušová</v>
      </c>
      <c r="C157" s="340" t="str">
        <f ca="1">Start.listina!Q25</f>
        <v>Jana</v>
      </c>
      <c r="D157" s="340" t="str">
        <f ca="1">Start.listina!R25</f>
        <v>CdP Loděnice</v>
      </c>
      <c r="E157" s="340">
        <f ca="1">Start.listina!S25</f>
        <v>49</v>
      </c>
      <c r="F157" s="340">
        <f ca="1">Start.listina!T25</f>
        <v>31.562999999999999</v>
      </c>
      <c r="G157" s="7"/>
    </row>
    <row r="158" spans="1:7">
      <c r="A158" s="340">
        <f ca="1">Start.listina!O26</f>
        <v>21049</v>
      </c>
      <c r="B158" s="386" t="str">
        <f ca="1">Start.listina!P26</f>
        <v>Paulík</v>
      </c>
      <c r="C158" s="340" t="str">
        <f ca="1">Start.listina!Q26</f>
        <v>Robert</v>
      </c>
      <c r="D158" s="340" t="str">
        <f ca="1">Start.listina!R26</f>
        <v>SLOPE Brno</v>
      </c>
      <c r="E158" s="340">
        <f ca="1">Start.listina!S26</f>
        <v>121</v>
      </c>
      <c r="F158" s="340">
        <f ca="1">Start.listina!T26</f>
        <v>33.75</v>
      </c>
      <c r="G158" s="7"/>
    </row>
    <row r="159" spans="1:7">
      <c r="A159" s="340">
        <f ca="1">Start.listina!O27</f>
        <v>26043</v>
      </c>
      <c r="B159" s="386" t="str">
        <f ca="1">Start.listina!P27</f>
        <v>Král</v>
      </c>
      <c r="C159" s="340" t="str">
        <f ca="1">Start.listina!Q27</f>
        <v>Pavel</v>
      </c>
      <c r="D159" s="340" t="str">
        <f ca="1">Start.listina!R27</f>
        <v>FENYX Adamov</v>
      </c>
      <c r="E159" s="340">
        <f ca="1">Start.listina!S27</f>
        <v>102</v>
      </c>
      <c r="F159" s="340">
        <f ca="1">Start.listina!T27</f>
        <v>27.282</v>
      </c>
      <c r="G159" s="7"/>
    </row>
    <row r="160" spans="1:7">
      <c r="A160" s="340">
        <f ca="1">Start.listina!O28</f>
        <v>22100</v>
      </c>
      <c r="B160" s="386" t="str">
        <f ca="1">Start.listina!P28</f>
        <v>Semeniv</v>
      </c>
      <c r="C160" s="340" t="str">
        <f ca="1">Start.listina!Q28</f>
        <v>Maryana Khrystyna</v>
      </c>
      <c r="D160" s="340" t="str">
        <f ca="1">Start.listina!R28</f>
        <v>1. KPK Vrchlabí</v>
      </c>
      <c r="E160" s="340">
        <f ca="1">Start.listina!S28</f>
        <v>23</v>
      </c>
      <c r="F160" s="340">
        <f ca="1">Start.listina!T28</f>
        <v>42.5</v>
      </c>
      <c r="G160" s="7"/>
    </row>
    <row r="161" spans="1:7">
      <c r="A161" s="340">
        <f ca="1">Start.listina!O29</f>
        <v>25055</v>
      </c>
      <c r="B161" s="386" t="str">
        <f ca="1">Start.listina!P29</f>
        <v>Jakeš</v>
      </c>
      <c r="C161" s="340" t="str">
        <f ca="1">Start.listina!Q29</f>
        <v>Zbyněk</v>
      </c>
      <c r="D161" s="340" t="str">
        <f ca="1">Start.listina!R29</f>
        <v>SKP Hranice VI-Valšovice</v>
      </c>
      <c r="E161" s="340">
        <f ca="1">Start.listina!S29</f>
        <v>24</v>
      </c>
      <c r="F161" s="340">
        <f ca="1">Start.listina!T29</f>
        <v>38.625</v>
      </c>
      <c r="G161" s="7"/>
    </row>
    <row r="162" spans="1:7">
      <c r="A162" s="340">
        <f ca="1">Start.listina!O30</f>
        <v>20504</v>
      </c>
      <c r="B162" s="386" t="str">
        <f ca="1">Start.listina!P30</f>
        <v>Bytešník</v>
      </c>
      <c r="C162" s="340" t="str">
        <f ca="1">Start.listina!Q30</f>
        <v>Roman</v>
      </c>
      <c r="D162" s="340" t="str">
        <f ca="1">Start.listina!R30</f>
        <v>Carreau Brno</v>
      </c>
      <c r="E162" s="340">
        <f ca="1">Start.listina!S30</f>
        <v>36</v>
      </c>
      <c r="F162" s="340">
        <f ca="1">Start.listina!T30</f>
        <v>30.437999999999999</v>
      </c>
      <c r="G162" s="7"/>
    </row>
    <row r="163" spans="1:7">
      <c r="A163" s="340">
        <f ca="1">Start.listina!O31</f>
        <v>21050</v>
      </c>
      <c r="B163" s="386" t="str">
        <f ca="1">Start.listina!P31</f>
        <v>Štěpánek</v>
      </c>
      <c r="C163" s="340" t="str">
        <f ca="1">Start.listina!Q31</f>
        <v>Michal</v>
      </c>
      <c r="D163" s="340" t="str">
        <f ca="1">Start.listina!R31</f>
        <v>SLOPE Brno</v>
      </c>
      <c r="E163" s="340">
        <f ca="1">Start.listina!S31</f>
        <v>78</v>
      </c>
      <c r="F163" s="340">
        <f ca="1">Start.listina!T31</f>
        <v>41.25</v>
      </c>
      <c r="G163" s="7"/>
    </row>
    <row r="164" spans="1:7">
      <c r="A164" s="340">
        <f ca="1">Start.listina!O32</f>
        <v>14079</v>
      </c>
      <c r="B164" s="386" t="str">
        <f ca="1">Start.listina!P32</f>
        <v>Heller</v>
      </c>
      <c r="C164" s="340" t="str">
        <f ca="1">Start.listina!Q32</f>
        <v>Jan</v>
      </c>
      <c r="D164" s="340" t="str">
        <f ca="1">Start.listina!R32</f>
        <v>PC Mimo Done</v>
      </c>
      <c r="E164" s="340">
        <f ca="1">Start.listina!S32</f>
        <v>97</v>
      </c>
      <c r="F164" s="340">
        <f ca="1">Start.listina!T32</f>
        <v>30.375</v>
      </c>
      <c r="G164" s="7"/>
    </row>
    <row r="165" spans="1:7">
      <c r="A165" s="340">
        <f ca="1">Start.listina!O33</f>
        <v>11002</v>
      </c>
      <c r="B165" s="386" t="str">
        <f ca="1">Start.listina!P33</f>
        <v>Lukášová</v>
      </c>
      <c r="C165" s="340" t="str">
        <f ca="1">Start.listina!Q33</f>
        <v>Jana</v>
      </c>
      <c r="D165" s="340" t="str">
        <f ca="1">Start.listina!R33</f>
        <v>PLUK Jablonec</v>
      </c>
      <c r="E165" s="340">
        <f ca="1">Start.listina!S33</f>
        <v>70</v>
      </c>
      <c r="F165" s="340">
        <f ca="1">Start.listina!T33</f>
        <v>20.937999999999999</v>
      </c>
      <c r="G165" s="7"/>
    </row>
    <row r="166" spans="1:7">
      <c r="A166" s="340">
        <f ca="1">Start.listina!O34</f>
        <v>16124</v>
      </c>
      <c r="B166" s="386" t="str">
        <f ca="1">Start.listina!P34</f>
        <v>Malá</v>
      </c>
      <c r="C166" s="340" t="str">
        <f ca="1">Start.listina!Q34</f>
        <v>Zuzana</v>
      </c>
      <c r="D166" s="340" t="str">
        <f ca="1">Start.listina!R34</f>
        <v>SPORT Kolín</v>
      </c>
      <c r="E166" s="340">
        <f ca="1">Start.listina!S34</f>
        <v>143</v>
      </c>
      <c r="F166" s="340">
        <f ca="1">Start.listina!T34</f>
        <v>24.501000000000001</v>
      </c>
      <c r="G166" s="7"/>
    </row>
    <row r="167" spans="1:7">
      <c r="A167" s="340">
        <f ca="1">Start.listina!O35</f>
        <v>18099</v>
      </c>
      <c r="B167" s="386" t="str">
        <f ca="1">Start.listina!P35</f>
        <v>Merta</v>
      </c>
      <c r="C167" s="340" t="str">
        <f ca="1">Start.listina!Q35</f>
        <v>Lukáš</v>
      </c>
      <c r="D167" s="340" t="str">
        <f ca="1">Start.listina!R35</f>
        <v>1. Starobrněnský PK</v>
      </c>
      <c r="E167" s="340">
        <f ca="1">Start.listina!S35</f>
        <v>114</v>
      </c>
      <c r="F167" s="340">
        <f ca="1">Start.listina!T35</f>
        <v>32.625</v>
      </c>
      <c r="G167" s="7"/>
    </row>
    <row r="168" spans="1:7">
      <c r="A168" s="340">
        <f ca="1">Start.listina!O36</f>
        <v>24310</v>
      </c>
      <c r="B168" s="386" t="str">
        <f ca="1">Start.listina!P36</f>
        <v>Netušil</v>
      </c>
      <c r="C168" s="340" t="str">
        <f ca="1">Start.listina!Q36</f>
        <v>Radek</v>
      </c>
      <c r="D168" s="340" t="str">
        <f ca="1">Start.listina!R36</f>
        <v>P.C.B.D.</v>
      </c>
      <c r="E168" s="340">
        <f ca="1">Start.listina!S36</f>
        <v>87</v>
      </c>
      <c r="F168" s="340">
        <f ca="1">Start.listina!T36</f>
        <v>30</v>
      </c>
      <c r="G168" s="7"/>
    </row>
    <row r="169" spans="1:7">
      <c r="A169" s="340">
        <f ca="1">Start.listina!O37</f>
        <v>15067</v>
      </c>
      <c r="B169" s="386" t="str">
        <f ca="1">Start.listina!P37</f>
        <v>Vyoral</v>
      </c>
      <c r="C169" s="340" t="str">
        <f ca="1">Start.listina!Q37</f>
        <v>Hynek</v>
      </c>
      <c r="D169" s="340" t="str">
        <f ca="1">Start.listina!R37</f>
        <v>PC Sokol Lipník</v>
      </c>
      <c r="E169" s="340">
        <f ca="1">Start.listina!S37</f>
        <v>39</v>
      </c>
      <c r="F169" s="340">
        <f ca="1">Start.listina!T37</f>
        <v>31</v>
      </c>
      <c r="G169" s="7"/>
    </row>
    <row r="170" spans="1:7">
      <c r="A170" s="340">
        <f ca="1">Start.listina!O38</f>
        <v>14076</v>
      </c>
      <c r="B170" s="386" t="str">
        <f ca="1">Start.listina!P38</f>
        <v>Klír</v>
      </c>
      <c r="C170" s="340" t="str">
        <f ca="1">Start.listina!Q38</f>
        <v>Tomáš</v>
      </c>
      <c r="D170" s="340" t="str">
        <f ca="1">Start.listina!R38</f>
        <v>Petank Club Praha</v>
      </c>
      <c r="E170" s="340">
        <f ca="1">Start.listina!S38</f>
        <v>142</v>
      </c>
      <c r="F170" s="340">
        <f ca="1">Start.listina!T38</f>
        <v>18.690000000000001</v>
      </c>
      <c r="G170" s="7"/>
    </row>
    <row r="171" spans="1:7">
      <c r="A171" s="340">
        <f ca="1">Start.listina!O39</f>
        <v>18060</v>
      </c>
      <c r="B171" s="386" t="str">
        <f ca="1">Start.listina!P39</f>
        <v>Kvítek</v>
      </c>
      <c r="C171" s="340" t="str">
        <f ca="1">Start.listina!Q39</f>
        <v>Franjo</v>
      </c>
      <c r="D171" s="340" t="str">
        <f ca="1">Start.listina!R39</f>
        <v>Orel Řečkovice</v>
      </c>
      <c r="E171" s="340">
        <f ca="1">Start.listina!S39</f>
        <v>351</v>
      </c>
      <c r="F171" s="340">
        <f ca="1">Start.listina!T39</f>
        <v>9.625</v>
      </c>
      <c r="G171" s="7"/>
    </row>
    <row r="172" spans="1:7">
      <c r="A172" s="340">
        <f ca="1">Start.listina!O40</f>
        <v>15023</v>
      </c>
      <c r="B172" s="386" t="str">
        <f ca="1">Start.listina!P40</f>
        <v>Přibyl</v>
      </c>
      <c r="C172" s="340" t="str">
        <f ca="1">Start.listina!Q40</f>
        <v>Miloš</v>
      </c>
      <c r="D172" s="340" t="str">
        <f ca="1">Start.listina!R40</f>
        <v>SK Sahara Vědomice</v>
      </c>
      <c r="E172" s="340">
        <f ca="1">Start.listina!S40</f>
        <v>83</v>
      </c>
      <c r="F172" s="340">
        <f ca="1">Start.listina!T40</f>
        <v>25.376000000000001</v>
      </c>
      <c r="G172" s="7"/>
    </row>
    <row r="173" spans="1:7">
      <c r="A173" s="340">
        <f ca="1">Start.listina!O41</f>
        <v>16151</v>
      </c>
      <c r="B173" s="386" t="str">
        <f ca="1">Start.listina!P41</f>
        <v>Kára</v>
      </c>
      <c r="C173" s="340" t="str">
        <f ca="1">Start.listina!Q41</f>
        <v>Jan</v>
      </c>
      <c r="D173" s="340" t="str">
        <f ca="1">Start.listina!R41</f>
        <v>PC Mimo Done</v>
      </c>
      <c r="E173" s="340">
        <f ca="1">Start.listina!S41</f>
        <v>203</v>
      </c>
      <c r="F173" s="340">
        <f ca="1">Start.listina!T41</f>
        <v>13.814</v>
      </c>
      <c r="G173" s="7"/>
    </row>
    <row r="174" spans="1:7">
      <c r="A174" s="340">
        <f ca="1">Start.listina!O42</f>
        <v>18055</v>
      </c>
      <c r="B174" s="386" t="str">
        <f ca="1">Start.listina!P42</f>
        <v>Dostál</v>
      </c>
      <c r="C174" s="340" t="str">
        <f ca="1">Start.listina!Q42</f>
        <v>Pavel</v>
      </c>
      <c r="D174" s="340" t="str">
        <f ca="1">Start.listina!R42</f>
        <v>Petank Club Praha</v>
      </c>
      <c r="E174" s="340">
        <f ca="1">Start.listina!S42</f>
        <v>139</v>
      </c>
      <c r="F174" s="340">
        <f ca="1">Start.listina!T42</f>
        <v>20.439</v>
      </c>
      <c r="G174" s="7"/>
    </row>
    <row r="175" spans="1:7">
      <c r="A175" s="340">
        <f ca="1">Start.listina!O43</f>
        <v>20554</v>
      </c>
      <c r="B175" s="386" t="str">
        <f ca="1">Start.listina!P43</f>
        <v>Ptáček</v>
      </c>
      <c r="C175" s="340" t="str">
        <f ca="1">Start.listina!Q43</f>
        <v>Luboš</v>
      </c>
      <c r="D175" s="340" t="str">
        <f ca="1">Start.listina!R43</f>
        <v>HRODE KRUMSÍN</v>
      </c>
      <c r="E175" s="340">
        <f ca="1">Start.listina!S43</f>
        <v>73</v>
      </c>
      <c r="F175" s="340">
        <f ca="1">Start.listina!T43</f>
        <v>28.812999999999999</v>
      </c>
      <c r="G175" s="7"/>
    </row>
    <row r="176" spans="1:7">
      <c r="A176" s="340">
        <f ca="1">Start.listina!O44</f>
        <v>27062</v>
      </c>
      <c r="B176" s="386" t="str">
        <f ca="1">Start.listina!P44</f>
        <v>Mrlina</v>
      </c>
      <c r="C176" s="340" t="str">
        <f ca="1">Start.listina!Q44</f>
        <v>Karel</v>
      </c>
      <c r="D176" s="340" t="str">
        <f ca="1">Start.listina!R44</f>
        <v>FENYX Adamov</v>
      </c>
      <c r="E176" s="340">
        <f ca="1">Start.listina!S44</f>
        <v>184</v>
      </c>
      <c r="F176" s="340">
        <f ca="1">Start.listina!T44</f>
        <v>23.437999999999999</v>
      </c>
      <c r="G176" s="7"/>
    </row>
    <row r="177" spans="1:7">
      <c r="A177" s="340">
        <f ca="1">Start.listina!O45</f>
        <v>17090</v>
      </c>
      <c r="B177" s="386" t="str">
        <f ca="1">Start.listina!P45</f>
        <v>Sedláčková</v>
      </c>
      <c r="C177" s="340" t="str">
        <f ca="1">Start.listina!Q45</f>
        <v>Marie</v>
      </c>
      <c r="D177" s="340" t="str">
        <f ca="1">Start.listina!R45</f>
        <v>PKT Velký Šanc</v>
      </c>
      <c r="E177" s="340">
        <f ca="1">Start.listina!S45</f>
        <v>126</v>
      </c>
      <c r="F177" s="340">
        <f ca="1">Start.listina!T45</f>
        <v>21.751000000000001</v>
      </c>
      <c r="G177" s="7"/>
    </row>
    <row r="178" spans="1:7">
      <c r="A178" s="340">
        <f ca="1">Start.listina!O46</f>
        <v>18063</v>
      </c>
      <c r="B178" s="386" t="str">
        <f ca="1">Start.listina!P46</f>
        <v>Louda</v>
      </c>
      <c r="C178" s="340" t="str">
        <f ca="1">Start.listina!Q46</f>
        <v>Vladimír</v>
      </c>
      <c r="D178" s="340" t="str">
        <f ca="1">Start.listina!R46</f>
        <v>PC Sokol Lipník</v>
      </c>
      <c r="E178" s="340">
        <f ca="1">Start.listina!S46</f>
        <v>322</v>
      </c>
      <c r="F178" s="340">
        <f ca="1">Start.listina!T46</f>
        <v>9.7829999999999995</v>
      </c>
      <c r="G178" s="7"/>
    </row>
    <row r="179" spans="1:7">
      <c r="A179" s="340">
        <f ca="1">Start.listina!O47</f>
        <v>13044</v>
      </c>
      <c r="B179" s="386" t="str">
        <f ca="1">Start.listina!P47</f>
        <v>Fafková</v>
      </c>
      <c r="C179" s="340" t="str">
        <f ca="1">Start.listina!Q47</f>
        <v>Jana</v>
      </c>
      <c r="D179" s="340" t="str">
        <f ca="1">Start.listina!R47</f>
        <v>PC Sokol Lipník</v>
      </c>
      <c r="E179" s="340">
        <f ca="1">Start.listina!S47</f>
        <v>58</v>
      </c>
      <c r="F179" s="340">
        <f ca="1">Start.listina!T47</f>
        <v>26.001000000000001</v>
      </c>
      <c r="G179" s="7"/>
    </row>
    <row r="180" spans="1:7">
      <c r="A180" s="340">
        <f ca="1">Start.listina!O48</f>
        <v>20534</v>
      </c>
      <c r="B180" s="386" t="str">
        <f ca="1">Start.listina!P48</f>
        <v>Váňová</v>
      </c>
      <c r="C180" s="340" t="str">
        <f ca="1">Start.listina!Q48</f>
        <v>Věra</v>
      </c>
      <c r="D180" s="340" t="str">
        <f ca="1">Start.listina!R48</f>
        <v>SK Pétanque Řepy</v>
      </c>
      <c r="E180" s="340">
        <f ca="1">Start.listina!S48</f>
        <v>132</v>
      </c>
      <c r="F180" s="340">
        <f ca="1">Start.listina!T48</f>
        <v>22.187999999999999</v>
      </c>
      <c r="G180" s="7"/>
    </row>
    <row r="181" spans="1:7">
      <c r="A181" s="340">
        <f ca="1">Start.listina!O49</f>
        <v>18131</v>
      </c>
      <c r="B181" s="386" t="str">
        <f ca="1">Start.listina!P49</f>
        <v>Marečková</v>
      </c>
      <c r="C181" s="340" t="str">
        <f ca="1">Start.listina!Q49</f>
        <v>Yvonne</v>
      </c>
      <c r="D181" s="340" t="str">
        <f ca="1">Start.listina!R49</f>
        <v>Orel Řečkovice</v>
      </c>
      <c r="E181" s="340">
        <f ca="1">Start.listina!S49</f>
        <v>133</v>
      </c>
      <c r="F181" s="340">
        <f ca="1">Start.listina!T49</f>
        <v>26.907</v>
      </c>
      <c r="G181" s="7"/>
    </row>
    <row r="182" spans="1:7">
      <c r="A182" s="340">
        <f ca="1">Start.listina!O50</f>
        <v>20513</v>
      </c>
      <c r="B182" s="386" t="str">
        <f ca="1">Start.listina!P50</f>
        <v>Hochmann</v>
      </c>
      <c r="C182" s="340" t="str">
        <f ca="1">Start.listina!Q50</f>
        <v>Lukáš</v>
      </c>
      <c r="D182" s="340" t="str">
        <f ca="1">Start.listina!R50</f>
        <v>PC Sokol PP Hr. Králové</v>
      </c>
      <c r="E182" s="340">
        <f ca="1">Start.listina!S50</f>
        <v>192</v>
      </c>
      <c r="F182" s="340">
        <f ca="1">Start.listina!T50</f>
        <v>20.22</v>
      </c>
      <c r="G182" s="7"/>
    </row>
    <row r="183" spans="1:7">
      <c r="A183" s="340">
        <f ca="1">Start.listina!O51</f>
        <v>22111</v>
      </c>
      <c r="B183" s="386" t="str">
        <f ca="1">Start.listina!P51</f>
        <v>Kopečný</v>
      </c>
      <c r="C183" s="340" t="str">
        <f ca="1">Start.listina!Q51</f>
        <v>David</v>
      </c>
      <c r="D183" s="340" t="str">
        <f ca="1">Start.listina!R51</f>
        <v>PC Sokol PP Hr. Králové</v>
      </c>
      <c r="E183" s="340">
        <f ca="1">Start.listina!S51</f>
        <v>152</v>
      </c>
      <c r="F183" s="340">
        <f ca="1">Start.listina!T51</f>
        <v>22.469000000000001</v>
      </c>
      <c r="G183" s="7"/>
    </row>
    <row r="184" spans="1:7">
      <c r="A184" s="340">
        <f ca="1">Start.listina!O52</f>
        <v>28001</v>
      </c>
      <c r="B184" s="386" t="str">
        <f ca="1">Start.listina!P52</f>
        <v>Pillerová</v>
      </c>
      <c r="C184" s="340" t="str">
        <f ca="1">Start.listina!Q52</f>
        <v>Monika</v>
      </c>
      <c r="D184" s="340" t="str">
        <f ca="1">Start.listina!R52</f>
        <v>SK Sahara Vědomice</v>
      </c>
      <c r="E184" s="340">
        <f ca="1">Start.listina!S52</f>
        <v>185</v>
      </c>
      <c r="F184" s="340">
        <f ca="1">Start.listina!T52</f>
        <v>15.782999999999999</v>
      </c>
      <c r="G184" s="7"/>
    </row>
    <row r="185" spans="1:7">
      <c r="A185" s="340">
        <f ca="1">Start.listina!O53</f>
        <v>21025</v>
      </c>
      <c r="B185" s="386" t="str">
        <f ca="1">Start.listina!P53</f>
        <v>Vodehnal</v>
      </c>
      <c r="C185" s="340" t="str">
        <f ca="1">Start.listina!Q53</f>
        <v>Zdeněk</v>
      </c>
      <c r="D185" s="340" t="str">
        <f ca="1">Start.listina!R53</f>
        <v>SK Pétanque Řepy</v>
      </c>
      <c r="E185" s="340">
        <f ca="1">Start.listina!S53</f>
        <v>194</v>
      </c>
      <c r="F185" s="340">
        <f ca="1">Start.listina!T53</f>
        <v>16.907</v>
      </c>
      <c r="G185" s="7"/>
    </row>
    <row r="186" spans="1:7">
      <c r="A186" s="340">
        <f ca="1">Start.listina!O54</f>
        <v>15010</v>
      </c>
      <c r="B186" s="386" t="str">
        <f ca="1">Start.listina!P54</f>
        <v>Chmelařová</v>
      </c>
      <c r="C186" s="340" t="str">
        <f ca="1">Start.listina!Q54</f>
        <v>Yvetta</v>
      </c>
      <c r="D186" s="340" t="str">
        <f ca="1">Start.listina!R54</f>
        <v>SKP Kulová osma</v>
      </c>
      <c r="E186" s="340">
        <f ca="1">Start.listina!S54</f>
        <v>164</v>
      </c>
      <c r="F186" s="340">
        <f ca="1">Start.listina!T54</f>
        <v>18.501000000000001</v>
      </c>
      <c r="G186" s="7"/>
    </row>
    <row r="187" spans="1:7">
      <c r="A187" s="340">
        <f ca="1">Start.listina!O55</f>
        <v>23256</v>
      </c>
      <c r="B187" s="386" t="str">
        <f ca="1">Start.listina!P55</f>
        <v>Krupica</v>
      </c>
      <c r="C187" s="340" t="str">
        <f ca="1">Start.listina!Q55</f>
        <v>František</v>
      </c>
      <c r="D187" s="340" t="str">
        <f ca="1">Start.listina!R55</f>
        <v>PSK Jihlava</v>
      </c>
      <c r="E187" s="340">
        <f ca="1">Start.listina!S55</f>
        <v>215</v>
      </c>
      <c r="F187" s="340">
        <f ca="1">Start.listina!T55</f>
        <v>20.314</v>
      </c>
      <c r="G187" s="7"/>
    </row>
    <row r="188" spans="1:7">
      <c r="A188" s="340">
        <f ca="1">Start.listina!O56</f>
        <v>11006</v>
      </c>
      <c r="B188" s="386" t="str">
        <f ca="1">Start.listina!P56</f>
        <v>Kulhánek</v>
      </c>
      <c r="C188" s="340" t="str">
        <f ca="1">Start.listina!Q56</f>
        <v>Milan</v>
      </c>
      <c r="D188" s="340" t="str">
        <f ca="1">Start.listina!R56</f>
        <v>SK Sahara Vědomice</v>
      </c>
      <c r="E188" s="340">
        <f ca="1">Start.listina!S56</f>
        <v>109</v>
      </c>
      <c r="F188" s="340">
        <f ca="1">Start.listina!T56</f>
        <v>21.375</v>
      </c>
      <c r="G188" s="7"/>
    </row>
    <row r="189" spans="1:7">
      <c r="A189" s="340">
        <f ca="1">Start.listina!O57</f>
        <v>20565</v>
      </c>
      <c r="B189" s="386" t="str">
        <f ca="1">Start.listina!P57</f>
        <v>Manka</v>
      </c>
      <c r="C189" s="340" t="str">
        <f ca="1">Start.listina!Q57</f>
        <v>Heinz</v>
      </c>
      <c r="D189" s="340" t="str">
        <f ca="1">Start.listina!R57</f>
        <v>1. Starobrněnský PK</v>
      </c>
      <c r="E189" s="340">
        <f ca="1">Start.listina!S57</f>
        <v>195</v>
      </c>
      <c r="F189" s="340">
        <f ca="1">Start.listina!T57</f>
        <v>16.5</v>
      </c>
      <c r="G189" s="7"/>
    </row>
    <row r="190" spans="1:7">
      <c r="A190" s="340">
        <f ca="1">Start.listina!O58</f>
        <v>23222</v>
      </c>
      <c r="B190" s="386" t="str">
        <f ca="1">Start.listina!P58</f>
        <v>Slunečko</v>
      </c>
      <c r="C190" s="340" t="str">
        <f ca="1">Start.listina!Q58</f>
        <v>František</v>
      </c>
      <c r="D190" s="340" t="str">
        <f ca="1">Start.listina!R58</f>
        <v>SK Pétanque Řepy</v>
      </c>
      <c r="E190" s="340">
        <f ca="1">Start.listina!S58</f>
        <v>305</v>
      </c>
      <c r="F190" s="340">
        <f ca="1">Start.listina!T58</f>
        <v>10.72</v>
      </c>
      <c r="G190" s="7"/>
    </row>
    <row r="191" spans="1:7">
      <c r="A191" s="340">
        <f ca="1">Start.listina!O59</f>
        <v>21036</v>
      </c>
      <c r="B191" s="386" t="str">
        <f ca="1">Start.listina!P59</f>
        <v>Vrzal</v>
      </c>
      <c r="C191" s="340" t="str">
        <f ca="1">Start.listina!Q59</f>
        <v>Martin</v>
      </c>
      <c r="D191" s="340" t="str">
        <f ca="1">Start.listina!R59</f>
        <v>PK Polouvsí</v>
      </c>
      <c r="E191" s="340">
        <f ca="1">Start.listina!S59</f>
        <v>199</v>
      </c>
      <c r="F191" s="340">
        <f ca="1">Start.listina!T59</f>
        <v>20.437999999999999</v>
      </c>
      <c r="G191" s="7"/>
    </row>
    <row r="192" spans="1:7">
      <c r="A192" s="340">
        <f ca="1">Start.listina!O60</f>
        <v>13055</v>
      </c>
      <c r="B192" s="386" t="str">
        <f ca="1">Start.listina!P60</f>
        <v>Brevčinský</v>
      </c>
      <c r="C192" s="340" t="str">
        <f ca="1">Start.listina!Q60</f>
        <v>Tomáš</v>
      </c>
      <c r="D192" s="340" t="str">
        <f ca="1">Start.listina!R60</f>
        <v>TOP - ORLOVÁ</v>
      </c>
      <c r="E192" s="340">
        <f ca="1">Start.listina!S60</f>
        <v>375</v>
      </c>
      <c r="F192" s="340">
        <f ca="1">Start.listina!T60</f>
        <v>7.5</v>
      </c>
      <c r="G192" s="7"/>
    </row>
    <row r="193" spans="1:7">
      <c r="A193" s="340">
        <f ca="1">Start.listina!O61</f>
        <v>96108</v>
      </c>
      <c r="B193" s="386" t="str">
        <f ca="1">Start.listina!P61</f>
        <v>Hanč</v>
      </c>
      <c r="C193" s="340" t="str">
        <f ca="1">Start.listina!Q61</f>
        <v>Jaroslav</v>
      </c>
      <c r="D193" s="340" t="str">
        <f ca="1">Start.listina!R61</f>
        <v>1. KPK Vrchlabí</v>
      </c>
      <c r="E193" s="340">
        <f ca="1">Start.listina!S61</f>
        <v>467</v>
      </c>
      <c r="F193" s="340">
        <f ca="1">Start.listina!T61</f>
        <v>4.5</v>
      </c>
      <c r="G193" s="7"/>
    </row>
    <row r="194" spans="1:7">
      <c r="A194" s="340">
        <f ca="1">Start.listina!O62</f>
        <v>20702</v>
      </c>
      <c r="B194" s="386" t="str">
        <f ca="1">Start.listina!P62</f>
        <v>Michálková</v>
      </c>
      <c r="C194" s="340" t="str">
        <f ca="1">Start.listina!Q62</f>
        <v>Soňa</v>
      </c>
      <c r="D194" s="340" t="str">
        <f ca="1">Start.listina!R62</f>
        <v>Carreau Brno</v>
      </c>
      <c r="E194" s="340">
        <f ca="1">Start.listina!S62</f>
        <v>283</v>
      </c>
      <c r="F194" s="340">
        <f ca="1">Start.listina!T62</f>
        <v>7.5</v>
      </c>
      <c r="G194" s="7"/>
    </row>
    <row r="195" spans="1:7">
      <c r="A195" s="340">
        <f ca="1">Start.listina!O63</f>
        <v>14098</v>
      </c>
      <c r="B195" s="386" t="str">
        <f ca="1">Start.listina!P63</f>
        <v>Skala</v>
      </c>
      <c r="C195" s="340" t="str">
        <f ca="1">Start.listina!Q63</f>
        <v>Petr</v>
      </c>
      <c r="D195" s="340" t="str">
        <f ca="1">Start.listina!R63</f>
        <v>PC Sokol Velim</v>
      </c>
      <c r="E195" s="340">
        <f ca="1">Start.listina!S63</f>
        <v>228</v>
      </c>
      <c r="F195" s="340">
        <f ca="1">Start.listina!T63</f>
        <v>14.407</v>
      </c>
      <c r="G195" s="7"/>
    </row>
    <row r="196" spans="1:7">
      <c r="A196" s="340">
        <f ca="1">Start.listina!O64</f>
        <v>22168</v>
      </c>
      <c r="B196" s="386" t="str">
        <f ca="1">Start.listina!P64</f>
        <v>Jindrová</v>
      </c>
      <c r="C196" s="340" t="str">
        <f ca="1">Start.listina!Q64</f>
        <v>Alena</v>
      </c>
      <c r="D196" s="340" t="str">
        <f ca="1">Start.listina!R64</f>
        <v>PO Chotěboř</v>
      </c>
      <c r="E196" s="340">
        <f ca="1">Start.listina!S64</f>
        <v>294</v>
      </c>
      <c r="F196" s="340">
        <f ca="1">Start.listina!T64</f>
        <v>14.157</v>
      </c>
      <c r="G196" s="7"/>
    </row>
    <row r="197" spans="1:7">
      <c r="A197" s="340">
        <f ca="1">Start.listina!O65</f>
        <v>98304</v>
      </c>
      <c r="B197" s="386" t="str">
        <f ca="1">Start.listina!P65</f>
        <v>Urbanová</v>
      </c>
      <c r="C197" s="340" t="str">
        <f ca="1">Start.listina!Q65</f>
        <v>Bronislava</v>
      </c>
      <c r="D197" s="340" t="str">
        <f ca="1">Start.listina!R65</f>
        <v>1. Starobrněnský PK</v>
      </c>
      <c r="E197" s="340">
        <f ca="1">Start.listina!S65</f>
        <v>312</v>
      </c>
      <c r="F197" s="340">
        <f ca="1">Start.listina!T65</f>
        <v>10.345000000000001</v>
      </c>
      <c r="G197" s="7"/>
    </row>
    <row r="198" spans="1:7">
      <c r="A198" s="340">
        <f ca="1">Start.listina!O66</f>
        <v>22127</v>
      </c>
      <c r="B198" s="386" t="str">
        <f ca="1">Start.listina!P66</f>
        <v>Dyba</v>
      </c>
      <c r="C198" s="340" t="str">
        <f ca="1">Start.listina!Q66</f>
        <v>Dalibor</v>
      </c>
      <c r="D198" s="340" t="str">
        <f ca="1">Start.listina!R66</f>
        <v>PSK Jihlava</v>
      </c>
      <c r="E198" s="340">
        <f ca="1">Start.listina!S66</f>
        <v>308</v>
      </c>
      <c r="F198" s="340">
        <f ca="1">Start.listina!T66</f>
        <v>8.0640000000000001</v>
      </c>
      <c r="G198" s="7"/>
    </row>
    <row r="199" spans="1:7">
      <c r="A199" s="340">
        <f ca="1">Start.listina!O67</f>
        <v>23258</v>
      </c>
      <c r="B199" s="386" t="str">
        <f ca="1">Start.listina!P67</f>
        <v>Brabenec</v>
      </c>
      <c r="C199" s="340" t="str">
        <f ca="1">Start.listina!Q67</f>
        <v>Patrik</v>
      </c>
      <c r="D199" s="340" t="str">
        <f ca="1">Start.listina!R67</f>
        <v>PSK Jihlava</v>
      </c>
      <c r="E199" s="340">
        <f ca="1">Start.listina!S67</f>
        <v>396</v>
      </c>
      <c r="F199" s="340">
        <f ca="1">Start.listina!T67</f>
        <v>6.7510000000000003</v>
      </c>
      <c r="G199" s="7"/>
    </row>
    <row r="200" spans="1:7">
      <c r="A200" s="340">
        <f ca="1">Start.listina!O68</f>
        <v>24517</v>
      </c>
      <c r="B200" s="386" t="str">
        <f ca="1">Start.listina!P68</f>
        <v>Fišerová</v>
      </c>
      <c r="C200" s="340" t="str">
        <f ca="1">Start.listina!Q68</f>
        <v>Dana</v>
      </c>
      <c r="D200" s="340" t="str">
        <f ca="1">Start.listina!R68</f>
        <v>PSK Jihlava</v>
      </c>
      <c r="E200" s="340">
        <f ca="1">Start.listina!S68</f>
        <v>422</v>
      </c>
      <c r="F200" s="340">
        <f ca="1">Start.listina!T68</f>
        <v>4.375</v>
      </c>
      <c r="G200" s="7"/>
    </row>
    <row r="201" spans="1:7">
      <c r="A201" s="340">
        <f ca="1">Start.listina!O69</f>
        <v>22129</v>
      </c>
      <c r="B201" s="386" t="str">
        <f ca="1">Start.listina!P69</f>
        <v>Marešová</v>
      </c>
      <c r="C201" s="340" t="str">
        <f ca="1">Start.listina!Q69</f>
        <v>Marie</v>
      </c>
      <c r="D201" s="340" t="str">
        <f ca="1">Start.listina!R69</f>
        <v>PSK Jihlava</v>
      </c>
      <c r="E201" s="340">
        <f ca="1">Start.listina!S69</f>
        <v>689</v>
      </c>
      <c r="F201" s="340">
        <f ca="1">Start.listina!T69</f>
        <v>0</v>
      </c>
      <c r="G201" s="7"/>
    </row>
    <row r="202" spans="1:7">
      <c r="A202" s="340" t="str">
        <f ca="1">Start.listina!O70</f>
        <v/>
      </c>
      <c r="B202" s="386" t="str">
        <f ca="1">Start.listina!P70</f>
        <v xml:space="preserve"> </v>
      </c>
      <c r="C202" s="340" t="str">
        <f ca="1">Start.listina!Q70</f>
        <v xml:space="preserve"> </v>
      </c>
      <c r="D202" s="340" t="str">
        <f ca="1">Start.listina!R70</f>
        <v xml:space="preserve"> </v>
      </c>
      <c r="E202" s="340">
        <f ca="1">Start.listina!S70</f>
        <v>9999</v>
      </c>
      <c r="F202" s="340">
        <f ca="1">Start.listina!T70</f>
        <v>0</v>
      </c>
      <c r="G202" s="7"/>
    </row>
    <row r="203" spans="1:7">
      <c r="A203" s="340" t="str">
        <f ca="1">Start.listina!O71</f>
        <v/>
      </c>
      <c r="B203" s="386" t="str">
        <f ca="1">Start.listina!P71</f>
        <v xml:space="preserve"> </v>
      </c>
      <c r="C203" s="340" t="str">
        <f ca="1">Start.listina!Q71</f>
        <v xml:space="preserve"> </v>
      </c>
      <c r="D203" s="340" t="str">
        <f ca="1">Start.listina!R71</f>
        <v xml:space="preserve"> </v>
      </c>
      <c r="E203" s="340">
        <f ca="1">Start.listina!S71</f>
        <v>9999</v>
      </c>
      <c r="F203" s="340">
        <f ca="1">Start.listina!T71</f>
        <v>0</v>
      </c>
      <c r="G203" s="7"/>
    </row>
    <row r="204" spans="1:7">
      <c r="A204" s="340" t="str">
        <f ca="1">Start.listina!O72</f>
        <v/>
      </c>
      <c r="B204" s="386" t="str">
        <f ca="1">Start.listina!P72</f>
        <v xml:space="preserve"> </v>
      </c>
      <c r="C204" s="340" t="str">
        <f ca="1">Start.listina!Q72</f>
        <v xml:space="preserve"> </v>
      </c>
      <c r="D204" s="340" t="str">
        <f ca="1">Start.listina!R72</f>
        <v xml:space="preserve"> </v>
      </c>
      <c r="E204" s="340">
        <f ca="1">Start.listina!S72</f>
        <v>9999</v>
      </c>
      <c r="F204" s="340">
        <f ca="1">Start.listina!T72</f>
        <v>0</v>
      </c>
      <c r="G204" s="7"/>
    </row>
    <row r="205" spans="1:7">
      <c r="A205" s="340" t="str">
        <f ca="1">Start.listina!O73</f>
        <v/>
      </c>
      <c r="B205" s="386" t="str">
        <f ca="1">Start.listina!P73</f>
        <v xml:space="preserve"> </v>
      </c>
      <c r="C205" s="340" t="str">
        <f ca="1">Start.listina!Q73</f>
        <v xml:space="preserve"> </v>
      </c>
      <c r="D205" s="340" t="str">
        <f ca="1">Start.listina!R73</f>
        <v xml:space="preserve"> </v>
      </c>
      <c r="E205" s="340">
        <f ca="1">Start.listina!S73</f>
        <v>9999</v>
      </c>
      <c r="F205" s="340">
        <f ca="1">Start.listina!T73</f>
        <v>0</v>
      </c>
      <c r="G205" s="7"/>
    </row>
    <row r="206" spans="1:7">
      <c r="A206" s="340" t="str">
        <f ca="1">Start.listina!O74</f>
        <v/>
      </c>
      <c r="B206" s="386" t="str">
        <f ca="1">Start.listina!P74</f>
        <v xml:space="preserve"> </v>
      </c>
      <c r="C206" s="340" t="str">
        <f ca="1">Start.listina!Q74</f>
        <v xml:space="preserve"> </v>
      </c>
      <c r="D206" s="340" t="str">
        <f ca="1">Start.listina!R74</f>
        <v xml:space="preserve"> </v>
      </c>
      <c r="E206" s="340">
        <f ca="1">Start.listina!S74</f>
        <v>9999</v>
      </c>
      <c r="F206" s="340">
        <f ca="1">Start.listina!T74</f>
        <v>0</v>
      </c>
      <c r="G206" s="7"/>
    </row>
    <row r="207" spans="1:7">
      <c r="A207" s="340" t="str">
        <f ca="1">Start.listina!O75</f>
        <v/>
      </c>
      <c r="B207" s="386" t="str">
        <f ca="1">Start.listina!P75</f>
        <v xml:space="preserve"> </v>
      </c>
      <c r="C207" s="340" t="str">
        <f ca="1">Start.listina!Q75</f>
        <v xml:space="preserve"> </v>
      </c>
      <c r="D207" s="340" t="str">
        <f ca="1">Start.listina!R75</f>
        <v xml:space="preserve"> </v>
      </c>
      <c r="E207" s="340">
        <f ca="1">Start.listina!S75</f>
        <v>9999</v>
      </c>
      <c r="F207" s="340">
        <f ca="1">Start.listina!T75</f>
        <v>0</v>
      </c>
      <c r="G207" s="7"/>
    </row>
    <row r="208" spans="1:7">
      <c r="A208" s="340" t="str">
        <f ca="1">Start.listina!O76</f>
        <v/>
      </c>
      <c r="B208" s="386" t="str">
        <f ca="1">Start.listina!P76</f>
        <v xml:space="preserve"> </v>
      </c>
      <c r="C208" s="340" t="str">
        <f ca="1">Start.listina!Q76</f>
        <v xml:space="preserve"> </v>
      </c>
      <c r="D208" s="340" t="str">
        <f ca="1">Start.listina!R76</f>
        <v xml:space="preserve"> </v>
      </c>
      <c r="E208" s="340">
        <f ca="1">Start.listina!S76</f>
        <v>9999</v>
      </c>
      <c r="F208" s="340">
        <f ca="1">Start.listina!T76</f>
        <v>0</v>
      </c>
      <c r="G208" s="7"/>
    </row>
    <row r="209" spans="1:7">
      <c r="A209" s="340" t="str">
        <f ca="1">Start.listina!O77</f>
        <v/>
      </c>
      <c r="B209" s="386" t="str">
        <f ca="1">Start.listina!P77</f>
        <v xml:space="preserve"> </v>
      </c>
      <c r="C209" s="340" t="str">
        <f ca="1">Start.listina!Q77</f>
        <v xml:space="preserve"> </v>
      </c>
      <c r="D209" s="340" t="str">
        <f ca="1">Start.listina!R77</f>
        <v xml:space="preserve"> </v>
      </c>
      <c r="E209" s="340">
        <f ca="1">Start.listina!S77</f>
        <v>9999</v>
      </c>
      <c r="F209" s="340">
        <f ca="1">Start.listina!T77</f>
        <v>0</v>
      </c>
      <c r="G209" s="7"/>
    </row>
    <row r="210" spans="1:7">
      <c r="A210" s="340" t="str">
        <f ca="1">Start.listina!O78</f>
        <v/>
      </c>
      <c r="B210" s="386" t="str">
        <f ca="1">Start.listina!P78</f>
        <v xml:space="preserve"> </v>
      </c>
      <c r="C210" s="340" t="str">
        <f ca="1">Start.listina!Q78</f>
        <v xml:space="preserve"> </v>
      </c>
      <c r="D210" s="340" t="str">
        <f ca="1">Start.listina!R78</f>
        <v xml:space="preserve"> </v>
      </c>
      <c r="E210" s="340">
        <f ca="1">Start.listina!S78</f>
        <v>9999</v>
      </c>
      <c r="F210" s="340">
        <f ca="1">Start.listina!T78</f>
        <v>0</v>
      </c>
      <c r="G210" s="7"/>
    </row>
    <row r="211" spans="1:7">
      <c r="A211" s="340" t="str">
        <f ca="1">Start.listina!O79</f>
        <v/>
      </c>
      <c r="B211" s="386" t="str">
        <f ca="1">Start.listina!P79</f>
        <v xml:space="preserve"> </v>
      </c>
      <c r="C211" s="340" t="str">
        <f ca="1">Start.listina!Q79</f>
        <v xml:space="preserve"> </v>
      </c>
      <c r="D211" s="340" t="str">
        <f ca="1">Start.listina!R79</f>
        <v xml:space="preserve"> </v>
      </c>
      <c r="E211" s="340">
        <f ca="1">Start.listina!S79</f>
        <v>9999</v>
      </c>
      <c r="F211" s="340">
        <f ca="1">Start.listina!T79</f>
        <v>0</v>
      </c>
      <c r="G211" s="7"/>
    </row>
    <row r="212" spans="1:7">
      <c r="A212" s="340" t="str">
        <f ca="1">Start.listina!O80</f>
        <v/>
      </c>
      <c r="B212" s="386" t="str">
        <f ca="1">Start.listina!P80</f>
        <v xml:space="preserve"> </v>
      </c>
      <c r="C212" s="340" t="str">
        <f ca="1">Start.listina!Q80</f>
        <v xml:space="preserve"> </v>
      </c>
      <c r="D212" s="340" t="str">
        <f ca="1">Start.listina!R80</f>
        <v xml:space="preserve"> </v>
      </c>
      <c r="E212" s="340">
        <f ca="1">Start.listina!S80</f>
        <v>9999</v>
      </c>
      <c r="F212" s="340">
        <f ca="1">Start.listina!T80</f>
        <v>0</v>
      </c>
      <c r="G212" s="7"/>
    </row>
    <row r="213" spans="1:7">
      <c r="A213" s="340" t="str">
        <f ca="1">Start.listina!O81</f>
        <v/>
      </c>
      <c r="B213" s="386" t="str">
        <f ca="1">Start.listina!P81</f>
        <v xml:space="preserve"> </v>
      </c>
      <c r="C213" s="340" t="str">
        <f ca="1">Start.listina!Q81</f>
        <v xml:space="preserve"> </v>
      </c>
      <c r="D213" s="340" t="str">
        <f ca="1">Start.listina!R81</f>
        <v xml:space="preserve"> </v>
      </c>
      <c r="E213" s="340">
        <f ca="1">Start.listina!S81</f>
        <v>9999</v>
      </c>
      <c r="F213" s="340">
        <f ca="1">Start.listina!T81</f>
        <v>0</v>
      </c>
      <c r="G213" s="7"/>
    </row>
    <row r="214" spans="1:7">
      <c r="A214" s="340" t="str">
        <f ca="1">Start.listina!O82</f>
        <v/>
      </c>
      <c r="B214" s="386" t="str">
        <f ca="1">Start.listina!P82</f>
        <v xml:space="preserve"> </v>
      </c>
      <c r="C214" s="340" t="str">
        <f ca="1">Start.listina!Q82</f>
        <v xml:space="preserve"> </v>
      </c>
      <c r="D214" s="340" t="str">
        <f ca="1">Start.listina!R82</f>
        <v xml:space="preserve"> </v>
      </c>
      <c r="E214" s="340">
        <f ca="1">Start.listina!S82</f>
        <v>9999</v>
      </c>
      <c r="F214" s="340">
        <f ca="1">Start.listina!T82</f>
        <v>0</v>
      </c>
      <c r="G214" s="7"/>
    </row>
    <row r="215" spans="1:7">
      <c r="A215" s="340" t="str">
        <f ca="1">Start.listina!O83</f>
        <v/>
      </c>
      <c r="B215" s="386" t="str">
        <f ca="1">Start.listina!P83</f>
        <v xml:space="preserve"> </v>
      </c>
      <c r="C215" s="340" t="str">
        <f ca="1">Start.listina!Q83</f>
        <v xml:space="preserve"> </v>
      </c>
      <c r="D215" s="340" t="str">
        <f ca="1">Start.listina!R83</f>
        <v xml:space="preserve"> </v>
      </c>
      <c r="E215" s="340">
        <f ca="1">Start.listina!S83</f>
        <v>9999</v>
      </c>
      <c r="F215" s="340">
        <f ca="1">Start.listina!T83</f>
        <v>0</v>
      </c>
      <c r="G215" s="7"/>
    </row>
    <row r="216" spans="1:7">
      <c r="A216" s="340" t="str">
        <f ca="1">Start.listina!O84</f>
        <v/>
      </c>
      <c r="B216" s="386" t="str">
        <f ca="1">Start.listina!P84</f>
        <v xml:space="preserve"> </v>
      </c>
      <c r="C216" s="340" t="str">
        <f ca="1">Start.listina!Q84</f>
        <v xml:space="preserve"> </v>
      </c>
      <c r="D216" s="340" t="str">
        <f ca="1">Start.listina!R84</f>
        <v xml:space="preserve"> </v>
      </c>
      <c r="E216" s="340">
        <f ca="1">Start.listina!S84</f>
        <v>9999</v>
      </c>
      <c r="F216" s="340">
        <f ca="1">Start.listina!T84</f>
        <v>0</v>
      </c>
      <c r="G216" s="7"/>
    </row>
    <row r="217" spans="1:7">
      <c r="A217" s="340" t="str">
        <f ca="1">Start.listina!O85</f>
        <v/>
      </c>
      <c r="B217" s="386" t="str">
        <f ca="1">Start.listina!P85</f>
        <v xml:space="preserve"> </v>
      </c>
      <c r="C217" s="340" t="str">
        <f ca="1">Start.listina!Q85</f>
        <v xml:space="preserve"> </v>
      </c>
      <c r="D217" s="340" t="str">
        <f ca="1">Start.listina!R85</f>
        <v xml:space="preserve"> </v>
      </c>
      <c r="E217" s="340">
        <f ca="1">Start.listina!S85</f>
        <v>9999</v>
      </c>
      <c r="F217" s="340">
        <f ca="1">Start.listina!T85</f>
        <v>0</v>
      </c>
      <c r="G217" s="7"/>
    </row>
    <row r="218" spans="1:7">
      <c r="A218" s="340" t="str">
        <f ca="1">Start.listina!O86</f>
        <v/>
      </c>
      <c r="B218" s="386" t="str">
        <f ca="1">Start.listina!P86</f>
        <v xml:space="preserve"> </v>
      </c>
      <c r="C218" s="340" t="str">
        <f ca="1">Start.listina!Q86</f>
        <v xml:space="preserve"> </v>
      </c>
      <c r="D218" s="340" t="str">
        <f ca="1">Start.listina!R86</f>
        <v xml:space="preserve"> </v>
      </c>
      <c r="E218" s="340">
        <f ca="1">Start.listina!S86</f>
        <v>9999</v>
      </c>
      <c r="F218" s="340">
        <f ca="1">Start.listina!T86</f>
        <v>0</v>
      </c>
      <c r="G218" s="7"/>
    </row>
    <row r="219" spans="1:7">
      <c r="A219" s="340" t="str">
        <f ca="1">Start.listina!O87</f>
        <v/>
      </c>
      <c r="B219" s="386" t="str">
        <f ca="1">Start.listina!P87</f>
        <v xml:space="preserve"> </v>
      </c>
      <c r="C219" s="340" t="str">
        <f ca="1">Start.listina!Q87</f>
        <v xml:space="preserve"> </v>
      </c>
      <c r="D219" s="340" t="str">
        <f ca="1">Start.listina!R87</f>
        <v xml:space="preserve"> </v>
      </c>
      <c r="E219" s="340">
        <f ca="1">Start.listina!S87</f>
        <v>9999</v>
      </c>
      <c r="F219" s="340">
        <f ca="1">Start.listina!T87</f>
        <v>0</v>
      </c>
      <c r="G219" s="7"/>
    </row>
    <row r="220" spans="1:7">
      <c r="A220" s="340" t="str">
        <f ca="1">Start.listina!O88</f>
        <v/>
      </c>
      <c r="B220" s="386" t="str">
        <f ca="1">Start.listina!P88</f>
        <v xml:space="preserve"> </v>
      </c>
      <c r="C220" s="340" t="str">
        <f ca="1">Start.listina!Q88</f>
        <v xml:space="preserve"> </v>
      </c>
      <c r="D220" s="340" t="str">
        <f ca="1">Start.listina!R88</f>
        <v xml:space="preserve"> </v>
      </c>
      <c r="E220" s="340">
        <f ca="1">Start.listina!S88</f>
        <v>9999</v>
      </c>
      <c r="F220" s="340">
        <f ca="1">Start.listina!T88</f>
        <v>0</v>
      </c>
      <c r="G220" s="7"/>
    </row>
    <row r="221" spans="1:7">
      <c r="A221" s="340" t="str">
        <f ca="1">Start.listina!O89</f>
        <v/>
      </c>
      <c r="B221" s="386" t="str">
        <f ca="1">Start.listina!P89</f>
        <v xml:space="preserve"> </v>
      </c>
      <c r="C221" s="340" t="str">
        <f ca="1">Start.listina!Q89</f>
        <v xml:space="preserve"> </v>
      </c>
      <c r="D221" s="340" t="str">
        <f ca="1">Start.listina!R89</f>
        <v xml:space="preserve"> </v>
      </c>
      <c r="E221" s="340">
        <f ca="1">Start.listina!S89</f>
        <v>9999</v>
      </c>
      <c r="F221" s="340">
        <f ca="1">Start.listina!T89</f>
        <v>0</v>
      </c>
      <c r="G221" s="7"/>
    </row>
    <row r="222" spans="1:7">
      <c r="A222" s="340" t="str">
        <f ca="1">Start.listina!O90</f>
        <v/>
      </c>
      <c r="B222" s="386" t="str">
        <f ca="1">Start.listina!P90</f>
        <v xml:space="preserve"> </v>
      </c>
      <c r="C222" s="340" t="str">
        <f ca="1">Start.listina!Q90</f>
        <v xml:space="preserve"> </v>
      </c>
      <c r="D222" s="340" t="str">
        <f ca="1">Start.listina!R90</f>
        <v xml:space="preserve"> </v>
      </c>
      <c r="E222" s="340">
        <f ca="1">Start.listina!S90</f>
        <v>9999</v>
      </c>
      <c r="F222" s="340">
        <f ca="1">Start.listina!T90</f>
        <v>0</v>
      </c>
      <c r="G222" s="7"/>
    </row>
    <row r="223" spans="1:7">
      <c r="A223" s="340" t="str">
        <f ca="1">Start.listina!O91</f>
        <v/>
      </c>
      <c r="B223" s="386" t="str">
        <f ca="1">Start.listina!P91</f>
        <v xml:space="preserve"> </v>
      </c>
      <c r="C223" s="340" t="str">
        <f ca="1">Start.listina!Q91</f>
        <v xml:space="preserve"> </v>
      </c>
      <c r="D223" s="340" t="str">
        <f ca="1">Start.listina!R91</f>
        <v xml:space="preserve"> </v>
      </c>
      <c r="E223" s="340">
        <f ca="1">Start.listina!S91</f>
        <v>9999</v>
      </c>
      <c r="F223" s="340">
        <f ca="1">Start.listina!T91</f>
        <v>0</v>
      </c>
      <c r="G223" s="7"/>
    </row>
    <row r="224" spans="1:7">
      <c r="A224" s="340" t="str">
        <f ca="1">Start.listina!O92</f>
        <v/>
      </c>
      <c r="B224" s="386" t="str">
        <f ca="1">Start.listina!P92</f>
        <v xml:space="preserve"> </v>
      </c>
      <c r="C224" s="340" t="str">
        <f ca="1">Start.listina!Q92</f>
        <v xml:space="preserve"> </v>
      </c>
      <c r="D224" s="340" t="str">
        <f ca="1">Start.listina!R92</f>
        <v xml:space="preserve"> </v>
      </c>
      <c r="E224" s="340">
        <f ca="1">Start.listina!S92</f>
        <v>9999</v>
      </c>
      <c r="F224" s="340">
        <f ca="1">Start.listina!T92</f>
        <v>0</v>
      </c>
      <c r="G224" s="7"/>
    </row>
    <row r="225" spans="1:7">
      <c r="A225" s="340" t="str">
        <f ca="1">Start.listina!O93</f>
        <v/>
      </c>
      <c r="B225" s="386" t="str">
        <f ca="1">Start.listina!P93</f>
        <v xml:space="preserve"> </v>
      </c>
      <c r="C225" s="340" t="str">
        <f ca="1">Start.listina!Q93</f>
        <v xml:space="preserve"> </v>
      </c>
      <c r="D225" s="340" t="str">
        <f ca="1">Start.listina!R93</f>
        <v xml:space="preserve"> </v>
      </c>
      <c r="E225" s="340">
        <f ca="1">Start.listina!S93</f>
        <v>9999</v>
      </c>
      <c r="F225" s="340">
        <f ca="1">Start.listina!T93</f>
        <v>0</v>
      </c>
      <c r="G225" s="7"/>
    </row>
    <row r="226" spans="1:7">
      <c r="A226" s="340" t="str">
        <f ca="1">Start.listina!O94</f>
        <v/>
      </c>
      <c r="B226" s="386" t="str">
        <f ca="1">Start.listina!P94</f>
        <v xml:space="preserve"> </v>
      </c>
      <c r="C226" s="340" t="str">
        <f ca="1">Start.listina!Q94</f>
        <v xml:space="preserve"> </v>
      </c>
      <c r="D226" s="340" t="str">
        <f ca="1">Start.listina!R94</f>
        <v xml:space="preserve"> </v>
      </c>
      <c r="E226" s="340">
        <f ca="1">Start.listina!S94</f>
        <v>9999</v>
      </c>
      <c r="F226" s="340">
        <f ca="1">Start.listina!T94</f>
        <v>0</v>
      </c>
      <c r="G226" s="7"/>
    </row>
    <row r="227" spans="1:7">
      <c r="A227" s="340" t="str">
        <f ca="1">Start.listina!O95</f>
        <v/>
      </c>
      <c r="B227" s="386" t="str">
        <f ca="1">Start.listina!P95</f>
        <v xml:space="preserve"> </v>
      </c>
      <c r="C227" s="340" t="str">
        <f ca="1">Start.listina!Q95</f>
        <v xml:space="preserve"> </v>
      </c>
      <c r="D227" s="340" t="str">
        <f ca="1">Start.listina!R95</f>
        <v xml:space="preserve"> </v>
      </c>
      <c r="E227" s="340">
        <f ca="1">Start.listina!S95</f>
        <v>9999</v>
      </c>
      <c r="F227" s="340">
        <f ca="1">Start.listina!T95</f>
        <v>0</v>
      </c>
      <c r="G227" s="7"/>
    </row>
    <row r="228" spans="1:7">
      <c r="A228" s="340" t="str">
        <f ca="1">Start.listina!O96</f>
        <v/>
      </c>
      <c r="B228" s="386" t="str">
        <f ca="1">Start.listina!P96</f>
        <v xml:space="preserve"> </v>
      </c>
      <c r="C228" s="340" t="str">
        <f ca="1">Start.listina!Q96</f>
        <v xml:space="preserve"> </v>
      </c>
      <c r="D228" s="340" t="str">
        <f ca="1">Start.listina!R96</f>
        <v xml:space="preserve"> </v>
      </c>
      <c r="E228" s="340">
        <f ca="1">Start.listina!S96</f>
        <v>9999</v>
      </c>
      <c r="F228" s="340">
        <f ca="1">Start.listina!T96</f>
        <v>0</v>
      </c>
      <c r="G228" s="7"/>
    </row>
    <row r="229" spans="1:7">
      <c r="A229" s="340" t="str">
        <f ca="1">Start.listina!O97</f>
        <v/>
      </c>
      <c r="B229" s="386" t="str">
        <f ca="1">Start.listina!P97</f>
        <v xml:space="preserve"> </v>
      </c>
      <c r="C229" s="340" t="str">
        <f ca="1">Start.listina!Q97</f>
        <v xml:space="preserve"> </v>
      </c>
      <c r="D229" s="340" t="str">
        <f ca="1">Start.listina!R97</f>
        <v xml:space="preserve"> </v>
      </c>
      <c r="E229" s="340">
        <f ca="1">Start.listina!S97</f>
        <v>9999</v>
      </c>
      <c r="F229" s="340">
        <f ca="1">Start.listina!T97</f>
        <v>0</v>
      </c>
      <c r="G229" s="7"/>
    </row>
    <row r="230" spans="1:7">
      <c r="A230" s="340" t="str">
        <f ca="1">Start.listina!O98</f>
        <v/>
      </c>
      <c r="B230" s="386" t="str">
        <f ca="1">Start.listina!P98</f>
        <v xml:space="preserve"> </v>
      </c>
      <c r="C230" s="340" t="str">
        <f ca="1">Start.listina!Q98</f>
        <v xml:space="preserve"> </v>
      </c>
      <c r="D230" s="340" t="str">
        <f ca="1">Start.listina!R98</f>
        <v xml:space="preserve"> </v>
      </c>
      <c r="E230" s="340">
        <f ca="1">Start.listina!S98</f>
        <v>9999</v>
      </c>
      <c r="F230" s="340">
        <f ca="1">Start.listina!T98</f>
        <v>0</v>
      </c>
      <c r="G230" s="7"/>
    </row>
    <row r="231" spans="1:7">
      <c r="A231" s="340" t="str">
        <f ca="1">Start.listina!O99</f>
        <v/>
      </c>
      <c r="B231" s="386" t="str">
        <f ca="1">Start.listina!P99</f>
        <v xml:space="preserve"> </v>
      </c>
      <c r="C231" s="340" t="str">
        <f ca="1">Start.listina!Q99</f>
        <v xml:space="preserve"> </v>
      </c>
      <c r="D231" s="340" t="str">
        <f ca="1">Start.listina!R99</f>
        <v xml:space="preserve"> </v>
      </c>
      <c r="E231" s="340">
        <f ca="1">Start.listina!S99</f>
        <v>9999</v>
      </c>
      <c r="F231" s="340">
        <f ca="1">Start.listina!T99</f>
        <v>0</v>
      </c>
      <c r="G231" s="7"/>
    </row>
    <row r="232" spans="1:7">
      <c r="A232" s="340" t="str">
        <f ca="1">Start.listina!O100</f>
        <v/>
      </c>
      <c r="B232" s="386" t="str">
        <f ca="1">Start.listina!P100</f>
        <v xml:space="preserve"> </v>
      </c>
      <c r="C232" s="340" t="str">
        <f ca="1">Start.listina!Q100</f>
        <v xml:space="preserve"> </v>
      </c>
      <c r="D232" s="340" t="str">
        <f ca="1">Start.listina!R100</f>
        <v xml:space="preserve"> </v>
      </c>
      <c r="E232" s="340">
        <f ca="1">Start.listina!S100</f>
        <v>9999</v>
      </c>
      <c r="F232" s="340">
        <f ca="1">Start.listina!T100</f>
        <v>0</v>
      </c>
      <c r="G232" s="7"/>
    </row>
    <row r="233" spans="1:7">
      <c r="A233" s="340" t="str">
        <f ca="1">Start.listina!O101</f>
        <v/>
      </c>
      <c r="B233" s="386" t="str">
        <f ca="1">Start.listina!P101</f>
        <v xml:space="preserve"> </v>
      </c>
      <c r="C233" s="340" t="str">
        <f ca="1">Start.listina!Q101</f>
        <v xml:space="preserve"> </v>
      </c>
      <c r="D233" s="340" t="str">
        <f ca="1">Start.listina!R101</f>
        <v xml:space="preserve"> </v>
      </c>
      <c r="E233" s="340">
        <f ca="1">Start.listina!S101</f>
        <v>9999</v>
      </c>
      <c r="F233" s="340">
        <f ca="1">Start.listina!T101</f>
        <v>0</v>
      </c>
      <c r="G233" s="7"/>
    </row>
    <row r="234" spans="1:7">
      <c r="A234" s="340" t="str">
        <f ca="1">Start.listina!O102</f>
        <v/>
      </c>
      <c r="B234" s="386" t="str">
        <f ca="1">Start.listina!P102</f>
        <v xml:space="preserve"> </v>
      </c>
      <c r="C234" s="340" t="str">
        <f ca="1">Start.listina!Q102</f>
        <v xml:space="preserve"> </v>
      </c>
      <c r="D234" s="340" t="str">
        <f ca="1">Start.listina!R102</f>
        <v xml:space="preserve"> </v>
      </c>
      <c r="E234" s="340">
        <f ca="1">Start.listina!S102</f>
        <v>9999</v>
      </c>
      <c r="F234" s="340">
        <f ca="1">Start.listina!T102</f>
        <v>0</v>
      </c>
      <c r="G234" s="7"/>
    </row>
    <row r="235" spans="1:7">
      <c r="A235" s="340" t="str">
        <f ca="1">Start.listina!O103</f>
        <v/>
      </c>
      <c r="B235" s="386" t="str">
        <f ca="1">Start.listina!P103</f>
        <v xml:space="preserve"> </v>
      </c>
      <c r="C235" s="340" t="str">
        <f ca="1">Start.listina!Q103</f>
        <v xml:space="preserve"> </v>
      </c>
      <c r="D235" s="340" t="str">
        <f ca="1">Start.listina!R103</f>
        <v xml:space="preserve"> </v>
      </c>
      <c r="E235" s="340">
        <f ca="1">Start.listina!S103</f>
        <v>9999</v>
      </c>
      <c r="F235" s="340">
        <f ca="1">Start.listina!T103</f>
        <v>0</v>
      </c>
      <c r="G235" s="7"/>
    </row>
    <row r="236" spans="1:7">
      <c r="A236" s="340" t="str">
        <f ca="1">Start.listina!O104</f>
        <v/>
      </c>
      <c r="B236" s="386" t="str">
        <f ca="1">Start.listina!P104</f>
        <v xml:space="preserve"> </v>
      </c>
      <c r="C236" s="340" t="str">
        <f ca="1">Start.listina!Q104</f>
        <v xml:space="preserve"> </v>
      </c>
      <c r="D236" s="340" t="str">
        <f ca="1">Start.listina!R104</f>
        <v xml:space="preserve"> </v>
      </c>
      <c r="E236" s="340">
        <f ca="1">Start.listina!S104</f>
        <v>9999</v>
      </c>
      <c r="F236" s="340">
        <f ca="1">Start.listina!T104</f>
        <v>0</v>
      </c>
      <c r="G236" s="7"/>
    </row>
    <row r="237" spans="1:7">
      <c r="A237" s="340" t="str">
        <f ca="1">Start.listina!O105</f>
        <v/>
      </c>
      <c r="B237" s="386" t="str">
        <f ca="1">Start.listina!P105</f>
        <v xml:space="preserve"> </v>
      </c>
      <c r="C237" s="340" t="str">
        <f ca="1">Start.listina!Q105</f>
        <v xml:space="preserve"> </v>
      </c>
      <c r="D237" s="340" t="str">
        <f ca="1">Start.listina!R105</f>
        <v xml:space="preserve"> </v>
      </c>
      <c r="E237" s="340">
        <f ca="1">Start.listina!S105</f>
        <v>9999</v>
      </c>
      <c r="F237" s="340">
        <f ca="1">Start.listina!T105</f>
        <v>0</v>
      </c>
      <c r="G237" s="7"/>
    </row>
    <row r="238" spans="1:7">
      <c r="A238" s="340" t="str">
        <f ca="1">Start.listina!O106</f>
        <v/>
      </c>
      <c r="B238" s="386" t="str">
        <f ca="1">Start.listina!P106</f>
        <v xml:space="preserve"> </v>
      </c>
      <c r="C238" s="340" t="str">
        <f ca="1">Start.listina!Q106</f>
        <v xml:space="preserve"> </v>
      </c>
      <c r="D238" s="340" t="str">
        <f ca="1">Start.listina!R106</f>
        <v xml:space="preserve"> </v>
      </c>
      <c r="E238" s="340">
        <f ca="1">Start.listina!S106</f>
        <v>9999</v>
      </c>
      <c r="F238" s="340">
        <f ca="1">Start.listina!T106</f>
        <v>0</v>
      </c>
      <c r="G238" s="7"/>
    </row>
    <row r="239" spans="1:7">
      <c r="A239" s="340" t="str">
        <f ca="1">Start.listina!O107</f>
        <v/>
      </c>
      <c r="B239" s="386" t="str">
        <f ca="1">Start.listina!P107</f>
        <v xml:space="preserve"> </v>
      </c>
      <c r="C239" s="340" t="str">
        <f ca="1">Start.listina!Q107</f>
        <v xml:space="preserve"> </v>
      </c>
      <c r="D239" s="340" t="str">
        <f ca="1">Start.listina!R107</f>
        <v xml:space="preserve"> </v>
      </c>
      <c r="E239" s="340">
        <f ca="1">Start.listina!S107</f>
        <v>9999</v>
      </c>
      <c r="F239" s="340">
        <f ca="1">Start.listina!T107</f>
        <v>0</v>
      </c>
      <c r="G239" s="7"/>
    </row>
    <row r="240" spans="1:7">
      <c r="A240" s="340" t="str">
        <f ca="1">Start.listina!O108</f>
        <v/>
      </c>
      <c r="B240" s="386" t="str">
        <f ca="1">Start.listina!P108</f>
        <v xml:space="preserve"> </v>
      </c>
      <c r="C240" s="340" t="str">
        <f ca="1">Start.listina!Q108</f>
        <v xml:space="preserve"> </v>
      </c>
      <c r="D240" s="340" t="str">
        <f ca="1">Start.listina!R108</f>
        <v xml:space="preserve"> </v>
      </c>
      <c r="E240" s="340">
        <f ca="1">Start.listina!S108</f>
        <v>9999</v>
      </c>
      <c r="F240" s="340">
        <f ca="1">Start.listina!T108</f>
        <v>0</v>
      </c>
      <c r="G240" s="7"/>
    </row>
    <row r="241" spans="1:7">
      <c r="A241" s="340" t="str">
        <f ca="1">Start.listina!O109</f>
        <v/>
      </c>
      <c r="B241" s="386" t="str">
        <f ca="1">Start.listina!P109</f>
        <v xml:space="preserve"> </v>
      </c>
      <c r="C241" s="340" t="str">
        <f ca="1">Start.listina!Q109</f>
        <v xml:space="preserve"> </v>
      </c>
      <c r="D241" s="340" t="str">
        <f ca="1">Start.listina!R109</f>
        <v xml:space="preserve"> </v>
      </c>
      <c r="E241" s="340">
        <f ca="1">Start.listina!S109</f>
        <v>9999</v>
      </c>
      <c r="F241" s="340">
        <f ca="1">Start.listina!T109</f>
        <v>0</v>
      </c>
      <c r="G241" s="7"/>
    </row>
    <row r="242" spans="1:7">
      <c r="A242" s="340" t="str">
        <f ca="1">Start.listina!O110</f>
        <v/>
      </c>
      <c r="B242" s="386" t="str">
        <f ca="1">Start.listina!P110</f>
        <v xml:space="preserve"> </v>
      </c>
      <c r="C242" s="340" t="str">
        <f ca="1">Start.listina!Q110</f>
        <v xml:space="preserve"> </v>
      </c>
      <c r="D242" s="340" t="str">
        <f ca="1">Start.listina!R110</f>
        <v xml:space="preserve"> </v>
      </c>
      <c r="E242" s="340">
        <f ca="1">Start.listina!S110</f>
        <v>9999</v>
      </c>
      <c r="F242" s="340">
        <f ca="1">Start.listina!T110</f>
        <v>0</v>
      </c>
      <c r="G242" s="7"/>
    </row>
    <row r="243" spans="1:7">
      <c r="A243" s="340" t="str">
        <f ca="1">Start.listina!O111</f>
        <v/>
      </c>
      <c r="B243" s="386" t="str">
        <f ca="1">Start.listina!P111</f>
        <v xml:space="preserve"> </v>
      </c>
      <c r="C243" s="340" t="str">
        <f ca="1">Start.listina!Q111</f>
        <v xml:space="preserve"> </v>
      </c>
      <c r="D243" s="340" t="str">
        <f ca="1">Start.listina!R111</f>
        <v xml:space="preserve"> </v>
      </c>
      <c r="E243" s="340">
        <f ca="1">Start.listina!S111</f>
        <v>9999</v>
      </c>
      <c r="F243" s="340">
        <f ca="1">Start.listina!T111</f>
        <v>0</v>
      </c>
      <c r="G243" s="7"/>
    </row>
    <row r="244" spans="1:7">
      <c r="A244" s="340" t="str">
        <f ca="1">Start.listina!O112</f>
        <v/>
      </c>
      <c r="B244" s="386" t="str">
        <f ca="1">Start.listina!P112</f>
        <v xml:space="preserve"> </v>
      </c>
      <c r="C244" s="340" t="str">
        <f ca="1">Start.listina!Q112</f>
        <v xml:space="preserve"> </v>
      </c>
      <c r="D244" s="340" t="str">
        <f ca="1">Start.listina!R112</f>
        <v xml:space="preserve"> </v>
      </c>
      <c r="E244" s="340">
        <f ca="1">Start.listina!S112</f>
        <v>9999</v>
      </c>
      <c r="F244" s="340">
        <f ca="1">Start.listina!T112</f>
        <v>0</v>
      </c>
      <c r="G244" s="7"/>
    </row>
    <row r="245" spans="1:7">
      <c r="A245" s="340" t="str">
        <f ca="1">Start.listina!O113</f>
        <v/>
      </c>
      <c r="B245" s="386" t="str">
        <f ca="1">Start.listina!P113</f>
        <v xml:space="preserve"> </v>
      </c>
      <c r="C245" s="340" t="str">
        <f ca="1">Start.listina!Q113</f>
        <v xml:space="preserve"> </v>
      </c>
      <c r="D245" s="340" t="str">
        <f ca="1">Start.listina!R113</f>
        <v xml:space="preserve"> </v>
      </c>
      <c r="E245" s="340">
        <f ca="1">Start.listina!S113</f>
        <v>9999</v>
      </c>
      <c r="F245" s="340">
        <f ca="1">Start.listina!T113</f>
        <v>0</v>
      </c>
      <c r="G245" s="7"/>
    </row>
    <row r="246" spans="1:7">
      <c r="A246" s="340" t="str">
        <f ca="1">Start.listina!O114</f>
        <v/>
      </c>
      <c r="B246" s="386" t="str">
        <f ca="1">Start.listina!P114</f>
        <v xml:space="preserve"> </v>
      </c>
      <c r="C246" s="340" t="str">
        <f ca="1">Start.listina!Q114</f>
        <v xml:space="preserve"> </v>
      </c>
      <c r="D246" s="340" t="str">
        <f ca="1">Start.listina!R114</f>
        <v xml:space="preserve"> </v>
      </c>
      <c r="E246" s="340">
        <f ca="1">Start.listina!S114</f>
        <v>9999</v>
      </c>
      <c r="F246" s="340">
        <f ca="1">Start.listina!T114</f>
        <v>0</v>
      </c>
      <c r="G246" s="7"/>
    </row>
    <row r="247" spans="1:7">
      <c r="A247" s="340" t="str">
        <f ca="1">Start.listina!O115</f>
        <v/>
      </c>
      <c r="B247" s="386" t="str">
        <f ca="1">Start.listina!P115</f>
        <v xml:space="preserve"> </v>
      </c>
      <c r="C247" s="340" t="str">
        <f ca="1">Start.listina!Q115</f>
        <v xml:space="preserve"> </v>
      </c>
      <c r="D247" s="340" t="str">
        <f ca="1">Start.listina!R115</f>
        <v xml:space="preserve"> </v>
      </c>
      <c r="E247" s="340">
        <f ca="1">Start.listina!S115</f>
        <v>9999</v>
      </c>
      <c r="F247" s="340">
        <f ca="1">Start.listina!T115</f>
        <v>0</v>
      </c>
      <c r="G247" s="7"/>
    </row>
    <row r="248" spans="1:7">
      <c r="A248" s="340" t="str">
        <f ca="1">Start.listina!O116</f>
        <v/>
      </c>
      <c r="B248" s="386" t="str">
        <f ca="1">Start.listina!P116</f>
        <v xml:space="preserve"> </v>
      </c>
      <c r="C248" s="340" t="str">
        <f ca="1">Start.listina!Q116</f>
        <v xml:space="preserve"> </v>
      </c>
      <c r="D248" s="340" t="str">
        <f ca="1">Start.listina!R116</f>
        <v xml:space="preserve"> </v>
      </c>
      <c r="E248" s="340">
        <f ca="1">Start.listina!S116</f>
        <v>9999</v>
      </c>
      <c r="F248" s="340">
        <f ca="1">Start.listina!T116</f>
        <v>0</v>
      </c>
      <c r="G248" s="7"/>
    </row>
    <row r="249" spans="1:7">
      <c r="A249" s="340" t="str">
        <f ca="1">Start.listina!O117</f>
        <v/>
      </c>
      <c r="B249" s="386" t="str">
        <f ca="1">Start.listina!P117</f>
        <v xml:space="preserve"> </v>
      </c>
      <c r="C249" s="340" t="str">
        <f ca="1">Start.listina!Q117</f>
        <v xml:space="preserve"> </v>
      </c>
      <c r="D249" s="340" t="str">
        <f ca="1">Start.listina!R117</f>
        <v xml:space="preserve"> </v>
      </c>
      <c r="E249" s="340">
        <f ca="1">Start.listina!S117</f>
        <v>9999</v>
      </c>
      <c r="F249" s="340">
        <f ca="1">Start.listina!T117</f>
        <v>0</v>
      </c>
      <c r="G249" s="7"/>
    </row>
    <row r="250" spans="1:7">
      <c r="A250" s="340" t="str">
        <f ca="1">Start.listina!O118</f>
        <v/>
      </c>
      <c r="B250" s="386" t="str">
        <f ca="1">Start.listina!P118</f>
        <v xml:space="preserve"> </v>
      </c>
      <c r="C250" s="340" t="str">
        <f ca="1">Start.listina!Q118</f>
        <v xml:space="preserve"> </v>
      </c>
      <c r="D250" s="340" t="str">
        <f ca="1">Start.listina!R118</f>
        <v xml:space="preserve"> </v>
      </c>
      <c r="E250" s="340">
        <f ca="1">Start.listina!S118</f>
        <v>9999</v>
      </c>
      <c r="F250" s="340">
        <f ca="1">Start.listina!T118</f>
        <v>0</v>
      </c>
      <c r="G250" s="7"/>
    </row>
    <row r="251" spans="1:7">
      <c r="A251" s="340" t="str">
        <f ca="1">Start.listina!O119</f>
        <v/>
      </c>
      <c r="B251" s="386" t="str">
        <f ca="1">Start.listina!P119</f>
        <v xml:space="preserve"> </v>
      </c>
      <c r="C251" s="340" t="str">
        <f ca="1">Start.listina!Q119</f>
        <v xml:space="preserve"> </v>
      </c>
      <c r="D251" s="340" t="str">
        <f ca="1">Start.listina!R119</f>
        <v xml:space="preserve"> </v>
      </c>
      <c r="E251" s="340">
        <f ca="1">Start.listina!S119</f>
        <v>9999</v>
      </c>
      <c r="F251" s="340">
        <f ca="1">Start.listina!T119</f>
        <v>0</v>
      </c>
      <c r="G251" s="7"/>
    </row>
    <row r="252" spans="1:7">
      <c r="A252" s="340" t="str">
        <f ca="1">Start.listina!O120</f>
        <v/>
      </c>
      <c r="B252" s="386" t="str">
        <f ca="1">Start.listina!P120</f>
        <v xml:space="preserve"> </v>
      </c>
      <c r="C252" s="340" t="str">
        <f ca="1">Start.listina!Q120</f>
        <v xml:space="preserve"> </v>
      </c>
      <c r="D252" s="340" t="str">
        <f ca="1">Start.listina!R120</f>
        <v xml:space="preserve"> </v>
      </c>
      <c r="E252" s="340">
        <f ca="1">Start.listina!S120</f>
        <v>9999</v>
      </c>
      <c r="F252" s="340">
        <f ca="1">Start.listina!T120</f>
        <v>0</v>
      </c>
      <c r="G252" s="7"/>
    </row>
    <row r="253" spans="1:7">
      <c r="A253" s="340" t="str">
        <f ca="1">Start.listina!O121</f>
        <v/>
      </c>
      <c r="B253" s="386" t="str">
        <f ca="1">Start.listina!P121</f>
        <v xml:space="preserve"> </v>
      </c>
      <c r="C253" s="340" t="str">
        <f ca="1">Start.listina!Q121</f>
        <v xml:space="preserve"> </v>
      </c>
      <c r="D253" s="340" t="str">
        <f ca="1">Start.listina!R121</f>
        <v xml:space="preserve"> </v>
      </c>
      <c r="E253" s="340">
        <f ca="1">Start.listina!S121</f>
        <v>9999</v>
      </c>
      <c r="F253" s="340">
        <f ca="1">Start.listina!T121</f>
        <v>0</v>
      </c>
      <c r="G253" s="7"/>
    </row>
    <row r="254" spans="1:7">
      <c r="A254" s="340" t="str">
        <f ca="1">Start.listina!O122</f>
        <v/>
      </c>
      <c r="B254" s="386" t="str">
        <f ca="1">Start.listina!P122</f>
        <v xml:space="preserve"> </v>
      </c>
      <c r="C254" s="340" t="str">
        <f ca="1">Start.listina!Q122</f>
        <v xml:space="preserve"> </v>
      </c>
      <c r="D254" s="340" t="str">
        <f ca="1">Start.listina!R122</f>
        <v xml:space="preserve"> </v>
      </c>
      <c r="E254" s="340">
        <f ca="1">Start.listina!S122</f>
        <v>9999</v>
      </c>
      <c r="F254" s="340">
        <f ca="1">Start.listina!T122</f>
        <v>0</v>
      </c>
      <c r="G254" s="7"/>
    </row>
    <row r="255" spans="1:7">
      <c r="A255" s="340" t="str">
        <f ca="1">Start.listina!O123</f>
        <v/>
      </c>
      <c r="B255" s="386" t="str">
        <f ca="1">Start.listina!P123</f>
        <v xml:space="preserve"> </v>
      </c>
      <c r="C255" s="340" t="str">
        <f ca="1">Start.listina!Q123</f>
        <v xml:space="preserve"> </v>
      </c>
      <c r="D255" s="340" t="str">
        <f ca="1">Start.listina!R123</f>
        <v xml:space="preserve"> </v>
      </c>
      <c r="E255" s="340">
        <f ca="1">Start.listina!S123</f>
        <v>9999</v>
      </c>
      <c r="F255" s="340">
        <f ca="1">Start.listina!T123</f>
        <v>0</v>
      </c>
      <c r="G255" s="7"/>
    </row>
    <row r="256" spans="1:7">
      <c r="A256" s="340" t="str">
        <f ca="1">Start.listina!O124</f>
        <v/>
      </c>
      <c r="B256" s="386" t="str">
        <f ca="1">Start.listina!P124</f>
        <v xml:space="preserve"> </v>
      </c>
      <c r="C256" s="340" t="str">
        <f ca="1">Start.listina!Q124</f>
        <v xml:space="preserve"> </v>
      </c>
      <c r="D256" s="340" t="str">
        <f ca="1">Start.listina!R124</f>
        <v xml:space="preserve"> </v>
      </c>
      <c r="E256" s="340">
        <f ca="1">Start.listina!S124</f>
        <v>9999</v>
      </c>
      <c r="F256" s="340">
        <f ca="1">Start.listina!T124</f>
        <v>0</v>
      </c>
      <c r="G256" s="7"/>
    </row>
    <row r="257" spans="1:7">
      <c r="A257" s="340" t="str">
        <f ca="1">Start.listina!O125</f>
        <v/>
      </c>
      <c r="B257" s="386" t="str">
        <f ca="1">Start.listina!P125</f>
        <v xml:space="preserve"> </v>
      </c>
      <c r="C257" s="340" t="str">
        <f ca="1">Start.listina!Q125</f>
        <v xml:space="preserve"> </v>
      </c>
      <c r="D257" s="340" t="str">
        <f ca="1">Start.listina!R125</f>
        <v xml:space="preserve"> </v>
      </c>
      <c r="E257" s="340">
        <f ca="1">Start.listina!S125</f>
        <v>9999</v>
      </c>
      <c r="F257" s="340">
        <f ca="1">Start.listina!T125</f>
        <v>0</v>
      </c>
      <c r="G257" s="7"/>
    </row>
    <row r="258" spans="1:7">
      <c r="A258" s="340" t="str">
        <f ca="1">Start.listina!O126</f>
        <v/>
      </c>
      <c r="B258" s="386" t="str">
        <f ca="1">Start.listina!P126</f>
        <v xml:space="preserve"> </v>
      </c>
      <c r="C258" s="340" t="str">
        <f ca="1">Start.listina!Q126</f>
        <v xml:space="preserve"> </v>
      </c>
      <c r="D258" s="340" t="str">
        <f ca="1">Start.listina!R126</f>
        <v xml:space="preserve"> </v>
      </c>
      <c r="E258" s="340">
        <f ca="1">Start.listina!S126</f>
        <v>9999</v>
      </c>
      <c r="F258" s="340">
        <f ca="1">Start.listina!T126</f>
        <v>0</v>
      </c>
      <c r="G258" s="7"/>
    </row>
    <row r="259" spans="1:7">
      <c r="A259" s="340" t="str">
        <f ca="1">Start.listina!O127</f>
        <v/>
      </c>
      <c r="B259" s="386" t="str">
        <f ca="1">Start.listina!P127</f>
        <v xml:space="preserve"> </v>
      </c>
      <c r="C259" s="340" t="str">
        <f ca="1">Start.listina!Q127</f>
        <v xml:space="preserve"> </v>
      </c>
      <c r="D259" s="340" t="str">
        <f ca="1">Start.listina!R127</f>
        <v xml:space="preserve"> </v>
      </c>
      <c r="E259" s="340">
        <f ca="1">Start.listina!S127</f>
        <v>9999</v>
      </c>
      <c r="F259" s="340">
        <f ca="1">Start.listina!T127</f>
        <v>0</v>
      </c>
      <c r="G259" s="7"/>
    </row>
    <row r="260" spans="1:7">
      <c r="A260" s="340" t="str">
        <f ca="1">Start.listina!O128</f>
        <v/>
      </c>
      <c r="B260" s="386" t="str">
        <f ca="1">Start.listina!P128</f>
        <v xml:space="preserve"> </v>
      </c>
      <c r="C260" s="340" t="str">
        <f ca="1">Start.listina!Q128</f>
        <v xml:space="preserve"> </v>
      </c>
      <c r="D260" s="340" t="str">
        <f ca="1">Start.listina!R128</f>
        <v xml:space="preserve"> </v>
      </c>
      <c r="E260" s="340">
        <f ca="1">Start.listina!S128</f>
        <v>9999</v>
      </c>
      <c r="F260" s="340">
        <f ca="1">Start.listina!T128</f>
        <v>0</v>
      </c>
      <c r="G260" s="7"/>
    </row>
    <row r="261" spans="1:7">
      <c r="A261" s="340" t="str">
        <f ca="1">Start.listina!O129</f>
        <v/>
      </c>
      <c r="B261" s="386" t="str">
        <f ca="1">Start.listina!P129</f>
        <v xml:space="preserve"> </v>
      </c>
      <c r="C261" s="340" t="str">
        <f ca="1">Start.listina!Q129</f>
        <v xml:space="preserve"> </v>
      </c>
      <c r="D261" s="340" t="str">
        <f ca="1">Start.listina!R129</f>
        <v xml:space="preserve"> </v>
      </c>
      <c r="E261" s="340">
        <f ca="1">Start.listina!S129</f>
        <v>9999</v>
      </c>
      <c r="F261" s="340">
        <f ca="1">Start.listina!T129</f>
        <v>0</v>
      </c>
      <c r="G261" s="7"/>
    </row>
    <row r="262" spans="1:7">
      <c r="A262" s="340" t="str">
        <f ca="1">Start.listina!O130</f>
        <v/>
      </c>
      <c r="B262" s="386" t="str">
        <f ca="1">Start.listina!P130</f>
        <v xml:space="preserve"> </v>
      </c>
      <c r="C262" s="340" t="str">
        <f ca="1">Start.listina!Q130</f>
        <v xml:space="preserve"> </v>
      </c>
      <c r="D262" s="340" t="str">
        <f ca="1">Start.listina!R130</f>
        <v xml:space="preserve"> </v>
      </c>
      <c r="E262" s="340">
        <f ca="1">Start.listina!S130</f>
        <v>9999</v>
      </c>
      <c r="F262" s="340">
        <f ca="1">Start.listina!T130</f>
        <v>0</v>
      </c>
      <c r="G262" s="7"/>
    </row>
    <row r="263" spans="1:7">
      <c r="A263" s="340" t="str">
        <f ca="1">Start.listina!O131</f>
        <v/>
      </c>
      <c r="B263" s="386" t="str">
        <f ca="1">Start.listina!P131</f>
        <v xml:space="preserve"> </v>
      </c>
      <c r="C263" s="340" t="str">
        <f ca="1">Start.listina!Q131</f>
        <v xml:space="preserve"> </v>
      </c>
      <c r="D263" s="340" t="str">
        <f ca="1">Start.listina!R131</f>
        <v xml:space="preserve"> </v>
      </c>
      <c r="E263" s="340">
        <f ca="1">Start.listina!S131</f>
        <v>9999</v>
      </c>
      <c r="F263" s="340">
        <f ca="1">Start.listina!T131</f>
        <v>0</v>
      </c>
      <c r="G263" s="7"/>
    </row>
    <row r="264" spans="1:7">
      <c r="A264" s="340" t="str">
        <f ca="1">Start.listina!O132</f>
        <v/>
      </c>
      <c r="B264" s="386" t="str">
        <f ca="1">Start.listina!P132</f>
        <v xml:space="preserve"> </v>
      </c>
      <c r="C264" s="340" t="str">
        <f ca="1">Start.listina!Q132</f>
        <v xml:space="preserve"> </v>
      </c>
      <c r="D264" s="340" t="str">
        <f ca="1">Start.listina!R132</f>
        <v xml:space="preserve"> </v>
      </c>
      <c r="E264" s="340">
        <f ca="1">Start.listina!S132</f>
        <v>9999</v>
      </c>
      <c r="F264" s="340">
        <f ca="1">Start.listina!T132</f>
        <v>0</v>
      </c>
      <c r="G264" s="7"/>
    </row>
    <row r="265" spans="1:7">
      <c r="A265" s="340" t="str">
        <f ca="1">Start.listina!O133</f>
        <v/>
      </c>
      <c r="B265" s="386" t="str">
        <f ca="1">Start.listina!P133</f>
        <v xml:space="preserve"> </v>
      </c>
      <c r="C265" s="340" t="str">
        <f ca="1">Start.listina!Q133</f>
        <v xml:space="preserve"> </v>
      </c>
      <c r="D265" s="340" t="str">
        <f ca="1">Start.listina!R133</f>
        <v xml:space="preserve"> </v>
      </c>
      <c r="E265" s="340">
        <f ca="1">Start.listina!S133</f>
        <v>9999</v>
      </c>
      <c r="F265" s="340">
        <f ca="1">Start.listina!T133</f>
        <v>0</v>
      </c>
      <c r="G265" s="7"/>
    </row>
    <row r="266" spans="1:7">
      <c r="A266" s="340" t="str">
        <f ca="1">Start.listina!O134</f>
        <v/>
      </c>
      <c r="B266" s="386" t="str">
        <f ca="1">Start.listina!P134</f>
        <v xml:space="preserve"> </v>
      </c>
      <c r="C266" s="340" t="str">
        <f ca="1">Start.listina!Q134</f>
        <v xml:space="preserve"> </v>
      </c>
      <c r="D266" s="340" t="str">
        <f ca="1">Start.listina!R134</f>
        <v xml:space="preserve"> </v>
      </c>
      <c r="E266" s="340">
        <f ca="1">Start.listina!S134</f>
        <v>9999</v>
      </c>
      <c r="F266" s="340">
        <f ca="1">Start.listina!T134</f>
        <v>0</v>
      </c>
      <c r="G266" s="7"/>
    </row>
    <row r="267" spans="1:7">
      <c r="A267" s="340" t="str">
        <f ca="1">Start.listina!O135</f>
        <v/>
      </c>
      <c r="B267" s="386" t="str">
        <f ca="1">Start.listina!P135</f>
        <v xml:space="preserve"> </v>
      </c>
      <c r="C267" s="340" t="str">
        <f ca="1">Start.listina!Q135</f>
        <v xml:space="preserve"> </v>
      </c>
      <c r="D267" s="340" t="str">
        <f ca="1">Start.listina!R135</f>
        <v xml:space="preserve"> </v>
      </c>
      <c r="E267" s="340">
        <f ca="1">Start.listina!S135</f>
        <v>9999</v>
      </c>
      <c r="F267" s="340">
        <f ca="1">Start.listina!T135</f>
        <v>0</v>
      </c>
      <c r="G267" s="7"/>
    </row>
    <row r="268" spans="1:7">
      <c r="A268" s="340" t="str">
        <f ca="1">Start.listina!O136</f>
        <v/>
      </c>
      <c r="B268" s="386" t="str">
        <f ca="1">Start.listina!P136</f>
        <v xml:space="preserve"> </v>
      </c>
      <c r="C268" s="340" t="str">
        <f ca="1">Start.listina!Q136</f>
        <v xml:space="preserve"> </v>
      </c>
      <c r="D268" s="340" t="str">
        <f ca="1">Start.listina!R136</f>
        <v xml:space="preserve"> </v>
      </c>
      <c r="E268" s="340">
        <f ca="1">Start.listina!S136</f>
        <v>9999</v>
      </c>
      <c r="F268" s="340">
        <f ca="1">Start.listina!T136</f>
        <v>0</v>
      </c>
      <c r="G268" s="7"/>
    </row>
    <row r="269" spans="1:7">
      <c r="A269" s="340" t="str">
        <f ca="1">Start.listina!O137</f>
        <v/>
      </c>
      <c r="B269" s="386" t="str">
        <f ca="1">Start.listina!P137</f>
        <v xml:space="preserve"> </v>
      </c>
      <c r="C269" s="340" t="str">
        <f ca="1">Start.listina!Q137</f>
        <v xml:space="preserve"> </v>
      </c>
      <c r="D269" s="340" t="str">
        <f ca="1">Start.listina!R137</f>
        <v xml:space="preserve"> </v>
      </c>
      <c r="E269" s="340">
        <f ca="1">Start.listina!S137</f>
        <v>9999</v>
      </c>
      <c r="F269" s="340">
        <f ca="1">Start.listina!T137</f>
        <v>0</v>
      </c>
      <c r="G269" s="7"/>
    </row>
    <row r="270" spans="1:7">
      <c r="A270" s="340" t="str">
        <f ca="1">Start.listina!O138</f>
        <v/>
      </c>
      <c r="B270" s="386" t="str">
        <f ca="1">Start.listina!P138</f>
        <v xml:space="preserve"> </v>
      </c>
      <c r="C270" s="340" t="str">
        <f ca="1">Start.listina!Q138</f>
        <v xml:space="preserve"> </v>
      </c>
      <c r="D270" s="340" t="str">
        <f ca="1">Start.listina!R138</f>
        <v xml:space="preserve"> </v>
      </c>
      <c r="E270" s="340">
        <f ca="1">Start.listina!S138</f>
        <v>9999</v>
      </c>
      <c r="F270" s="340">
        <f ca="1">Start.listina!T138</f>
        <v>0</v>
      </c>
      <c r="G270" s="7"/>
    </row>
    <row r="271" spans="1:7">
      <c r="A271" s="340" t="str">
        <f ca="1">Start.listina!O139</f>
        <v/>
      </c>
      <c r="B271" s="386" t="str">
        <f ca="1">Start.listina!P139</f>
        <v xml:space="preserve"> </v>
      </c>
      <c r="C271" s="340" t="str">
        <f ca="1">Start.listina!Q139</f>
        <v xml:space="preserve"> </v>
      </c>
      <c r="D271" s="340" t="str">
        <f ca="1">Start.listina!R139</f>
        <v xml:space="preserve"> </v>
      </c>
      <c r="E271" s="340">
        <f ca="1">Start.listina!S139</f>
        <v>9999</v>
      </c>
      <c r="F271" s="340">
        <f ca="1">Start.listina!T139</f>
        <v>0</v>
      </c>
      <c r="G271" s="7"/>
    </row>
    <row r="272" spans="1:7">
      <c r="A272" s="340" t="str">
        <f ca="1">Start.listina!O140</f>
        <v/>
      </c>
      <c r="B272" s="386" t="str">
        <f ca="1">Start.listina!P140</f>
        <v xml:space="preserve"> </v>
      </c>
      <c r="C272" s="340" t="str">
        <f ca="1">Start.listina!Q140</f>
        <v xml:space="preserve"> </v>
      </c>
      <c r="D272" s="340" t="str">
        <f ca="1">Start.listina!R140</f>
        <v xml:space="preserve"> </v>
      </c>
      <c r="E272" s="340">
        <f ca="1">Start.listina!S140</f>
        <v>9999</v>
      </c>
      <c r="F272" s="340">
        <f ca="1">Start.listina!T140</f>
        <v>0</v>
      </c>
      <c r="G272" s="7"/>
    </row>
    <row r="273" spans="1:7">
      <c r="A273" s="340" t="str">
        <f ca="1">Start.listina!O141</f>
        <v/>
      </c>
      <c r="B273" s="386" t="str">
        <f ca="1">Start.listina!P141</f>
        <v xml:space="preserve"> </v>
      </c>
      <c r="C273" s="340" t="str">
        <f ca="1">Start.listina!Q141</f>
        <v xml:space="preserve"> </v>
      </c>
      <c r="D273" s="340" t="str">
        <f ca="1">Start.listina!R141</f>
        <v xml:space="preserve"> </v>
      </c>
      <c r="E273" s="340">
        <f ca="1">Start.listina!S141</f>
        <v>9999</v>
      </c>
      <c r="F273" s="340">
        <f ca="1">Start.listina!T141</f>
        <v>0</v>
      </c>
      <c r="G273" s="7"/>
    </row>
    <row r="274" spans="1:7">
      <c r="A274" s="340" t="str">
        <f ca="1">Start.listina!O142</f>
        <v/>
      </c>
      <c r="B274" s="386" t="str">
        <f ca="1">Start.listina!P142</f>
        <v xml:space="preserve"> </v>
      </c>
      <c r="C274" s="340" t="str">
        <f ca="1">Start.listina!Q142</f>
        <v xml:space="preserve"> </v>
      </c>
      <c r="D274" s="340" t="str">
        <f ca="1">Start.listina!R142</f>
        <v xml:space="preserve"> </v>
      </c>
      <c r="E274" s="340">
        <f ca="1">Start.listina!S142</f>
        <v>9999</v>
      </c>
      <c r="F274" s="340">
        <f ca="1">Start.listina!T142</f>
        <v>0</v>
      </c>
      <c r="G274" s="7"/>
    </row>
    <row r="275" spans="1:7">
      <c r="A275" s="340" t="str">
        <f ca="1">Start.listina!O143</f>
        <v/>
      </c>
      <c r="B275" s="386" t="str">
        <f ca="1">Start.listina!P143</f>
        <v xml:space="preserve"> </v>
      </c>
      <c r="C275" s="340" t="str">
        <f ca="1">Start.listina!Q143</f>
        <v xml:space="preserve"> </v>
      </c>
      <c r="D275" s="340" t="str">
        <f ca="1">Start.listina!R143</f>
        <v xml:space="preserve"> </v>
      </c>
      <c r="E275" s="340">
        <f ca="1">Start.listina!S143</f>
        <v>9999</v>
      </c>
      <c r="F275" s="340">
        <f ca="1">Start.listina!T143</f>
        <v>0</v>
      </c>
      <c r="G275" s="7"/>
    </row>
    <row r="276" spans="1:7">
      <c r="A276" s="340" t="str">
        <f ca="1">Start.listina!O144</f>
        <v/>
      </c>
      <c r="B276" s="386" t="str">
        <f ca="1">Start.listina!P144</f>
        <v xml:space="preserve"> </v>
      </c>
      <c r="C276" s="340" t="str">
        <f ca="1">Start.listina!Q144</f>
        <v xml:space="preserve"> </v>
      </c>
      <c r="D276" s="340" t="str">
        <f ca="1">Start.listina!R144</f>
        <v xml:space="preserve"> </v>
      </c>
      <c r="E276" s="340">
        <f ca="1">Start.listina!S144</f>
        <v>9999</v>
      </c>
      <c r="F276" s="340">
        <f ca="1">Start.listina!T144</f>
        <v>0</v>
      </c>
      <c r="G276" s="7"/>
    </row>
    <row r="277" spans="1:7">
      <c r="A277" s="340" t="str">
        <f ca="1">Start.listina!O145</f>
        <v/>
      </c>
      <c r="B277" s="386" t="str">
        <f ca="1">Start.listina!P145</f>
        <v xml:space="preserve"> </v>
      </c>
      <c r="C277" s="340" t="str">
        <f ca="1">Start.listina!Q145</f>
        <v xml:space="preserve"> </v>
      </c>
      <c r="D277" s="340" t="str">
        <f ca="1">Start.listina!R145</f>
        <v xml:space="preserve"> </v>
      </c>
      <c r="E277" s="340">
        <f ca="1">Start.listina!S145</f>
        <v>9999</v>
      </c>
      <c r="F277" s="340">
        <f ca="1">Start.listina!T145</f>
        <v>0</v>
      </c>
      <c r="G277" s="7"/>
    </row>
    <row r="278" spans="1:7">
      <c r="A278" s="340" t="str">
        <f ca="1">Start.listina!O146</f>
        <v/>
      </c>
      <c r="B278" s="386" t="str">
        <f ca="1">Start.listina!P146</f>
        <v xml:space="preserve"> </v>
      </c>
      <c r="C278" s="340" t="str">
        <f ca="1">Start.listina!Q146</f>
        <v xml:space="preserve"> </v>
      </c>
      <c r="D278" s="340" t="str">
        <f ca="1">Start.listina!R146</f>
        <v xml:space="preserve"> </v>
      </c>
      <c r="E278" s="340">
        <f ca="1">Start.listina!S146</f>
        <v>9999</v>
      </c>
      <c r="F278" s="340">
        <f ca="1">Start.listina!T146</f>
        <v>0</v>
      </c>
      <c r="G278" s="7"/>
    </row>
    <row r="279" spans="1:7">
      <c r="A279" s="340" t="str">
        <f ca="1">Start.listina!O147</f>
        <v/>
      </c>
      <c r="B279" s="386" t="str">
        <f ca="1">Start.listina!P147</f>
        <v xml:space="preserve"> </v>
      </c>
      <c r="C279" s="340" t="str">
        <f ca="1">Start.listina!Q147</f>
        <v xml:space="preserve"> </v>
      </c>
      <c r="D279" s="340" t="str">
        <f ca="1">Start.listina!R147</f>
        <v xml:space="preserve"> </v>
      </c>
      <c r="E279" s="340">
        <f ca="1">Start.listina!S147</f>
        <v>9999</v>
      </c>
      <c r="F279" s="340">
        <f ca="1">Start.listina!T147</f>
        <v>0</v>
      </c>
      <c r="G279" s="7"/>
    </row>
    <row r="280" spans="1:7">
      <c r="A280" s="340" t="str">
        <f ca="1">Start.listina!O148</f>
        <v/>
      </c>
      <c r="B280" s="386" t="str">
        <f ca="1">Start.listina!P148</f>
        <v xml:space="preserve"> </v>
      </c>
      <c r="C280" s="340" t="str">
        <f ca="1">Start.listina!Q148</f>
        <v xml:space="preserve"> </v>
      </c>
      <c r="D280" s="340" t="str">
        <f ca="1">Start.listina!R148</f>
        <v xml:space="preserve"> </v>
      </c>
      <c r="E280" s="340">
        <f ca="1">Start.listina!S148</f>
        <v>9999</v>
      </c>
      <c r="F280" s="340">
        <f ca="1">Start.listina!T148</f>
        <v>0</v>
      </c>
      <c r="G280" s="7"/>
    </row>
    <row r="281" spans="1:7">
      <c r="A281" s="14">
        <f ca="1">Start.listina!U11</f>
        <v>29062</v>
      </c>
      <c r="B281" s="227" t="str">
        <f ca="1">Start.listina!V11</f>
        <v>Vavrovič ml.</v>
      </c>
      <c r="C281" s="14" t="str">
        <f ca="1">Start.listina!W11</f>
        <v>Petr</v>
      </c>
      <c r="D281" s="14" t="str">
        <f ca="1">Start.listina!X11</f>
        <v>PC Sokol Lipník</v>
      </c>
      <c r="E281" s="14">
        <f ca="1">Start.listina!Y11</f>
        <v>2</v>
      </c>
      <c r="F281" s="14">
        <f ca="1">Start.listina!Z11</f>
        <v>61</v>
      </c>
      <c r="G281" s="7"/>
    </row>
    <row r="282" spans="1:7">
      <c r="A282" s="14">
        <f ca="1">Start.listina!U12</f>
        <v>13064</v>
      </c>
      <c r="B282" s="227" t="str">
        <f ca="1">Start.listina!V12</f>
        <v>Michalička</v>
      </c>
      <c r="C282" s="14" t="str">
        <f ca="1">Start.listina!W12</f>
        <v>Lukáš</v>
      </c>
      <c r="D282" s="14" t="str">
        <f ca="1">Start.listina!X12</f>
        <v>1. KPK Vrchlabí</v>
      </c>
      <c r="E282" s="14">
        <f ca="1">Start.listina!Y12</f>
        <v>12</v>
      </c>
      <c r="F282" s="14">
        <f ca="1">Start.listina!Z12</f>
        <v>50.5</v>
      </c>
      <c r="G282" s="7"/>
    </row>
    <row r="283" spans="1:7">
      <c r="A283" s="14">
        <f ca="1">Start.listina!U13</f>
        <v>21775</v>
      </c>
      <c r="B283" s="227" t="str">
        <f ca="1">Start.listina!V13</f>
        <v>Michálek</v>
      </c>
      <c r="C283" s="14" t="str">
        <f ca="1">Start.listina!W13</f>
        <v>Jan</v>
      </c>
      <c r="D283" s="14" t="str">
        <f ca="1">Start.listina!X13</f>
        <v>Carreau Brno</v>
      </c>
      <c r="E283" s="14">
        <f ca="1">Start.listina!Y13</f>
        <v>7</v>
      </c>
      <c r="F283" s="14">
        <f ca="1">Start.listina!Z13</f>
        <v>42.938000000000002</v>
      </c>
      <c r="G283" s="7"/>
    </row>
    <row r="284" spans="1:7">
      <c r="A284" s="14">
        <f ca="1">Start.listina!U14</f>
        <v>27039</v>
      </c>
      <c r="B284" s="227" t="str">
        <f ca="1">Start.listina!V14</f>
        <v>Kauca st.</v>
      </c>
      <c r="C284" s="14" t="str">
        <f ca="1">Start.listina!W14</f>
        <v>Jindřich</v>
      </c>
      <c r="D284" s="14" t="str">
        <f ca="1">Start.listina!X14</f>
        <v>PC Přítkov</v>
      </c>
      <c r="E284" s="14">
        <f ca="1">Start.listina!Y14</f>
        <v>4</v>
      </c>
      <c r="F284" s="14">
        <f ca="1">Start.listina!Z14</f>
        <v>49.75</v>
      </c>
      <c r="G284" s="7"/>
    </row>
    <row r="285" spans="1:7">
      <c r="A285" s="14">
        <f ca="1">Start.listina!U15</f>
        <v>29061</v>
      </c>
      <c r="B285" s="227" t="str">
        <f ca="1">Start.listina!V15</f>
        <v>Vavrovič st.</v>
      </c>
      <c r="C285" s="14" t="str">
        <f ca="1">Start.listina!W15</f>
        <v>Petr</v>
      </c>
      <c r="D285" s="14" t="str">
        <f ca="1">Start.listina!X15</f>
        <v>PC Sokol Lipník</v>
      </c>
      <c r="E285" s="14">
        <f ca="1">Start.listina!Y15</f>
        <v>30</v>
      </c>
      <c r="F285" s="14">
        <f ca="1">Start.listina!Z15</f>
        <v>40.5</v>
      </c>
      <c r="G285" s="7"/>
    </row>
    <row r="286" spans="1:7">
      <c r="A286" s="14">
        <f ca="1">Start.listina!U16</f>
        <v>13029</v>
      </c>
      <c r="B286" s="227" t="str">
        <f ca="1">Start.listina!V16</f>
        <v>Kamaryt</v>
      </c>
      <c r="C286" s="14" t="str">
        <f ca="1">Start.listina!W16</f>
        <v>Josef</v>
      </c>
      <c r="D286" s="14" t="str">
        <f ca="1">Start.listina!X16</f>
        <v>CdP Loděnice</v>
      </c>
      <c r="E286" s="14">
        <f ca="1">Start.listina!Y16</f>
        <v>51</v>
      </c>
      <c r="F286" s="14">
        <f ca="1">Start.listina!Z16</f>
        <v>42.75</v>
      </c>
      <c r="G286" s="7"/>
    </row>
    <row r="287" spans="1:7">
      <c r="A287" s="14">
        <f ca="1">Start.listina!U17</f>
        <v>29040</v>
      </c>
      <c r="B287" s="227" t="str">
        <f ca="1">Start.listina!V17</f>
        <v>Krpec</v>
      </c>
      <c r="C287" s="14" t="str">
        <f ca="1">Start.listina!W17</f>
        <v>Miroslav</v>
      </c>
      <c r="D287" s="14" t="str">
        <f ca="1">Start.listina!X17</f>
        <v>HRODE KRUMSÍN</v>
      </c>
      <c r="E287" s="14">
        <f ca="1">Start.listina!Y17</f>
        <v>32</v>
      </c>
      <c r="F287" s="14">
        <f ca="1">Start.listina!Z17</f>
        <v>39.5</v>
      </c>
      <c r="G287" s="7"/>
    </row>
    <row r="288" spans="1:7">
      <c r="A288" s="14">
        <f ca="1">Start.listina!U18</f>
        <v>10138</v>
      </c>
      <c r="B288" s="227" t="str">
        <f ca="1">Start.listina!V18</f>
        <v>Hájek ml.</v>
      </c>
      <c r="C288" s="14" t="str">
        <f ca="1">Start.listina!W18</f>
        <v>Martin</v>
      </c>
      <c r="D288" s="14" t="str">
        <f ca="1">Start.listina!X18</f>
        <v>PEK Stolín</v>
      </c>
      <c r="E288" s="14">
        <f ca="1">Start.listina!Y18</f>
        <v>57</v>
      </c>
      <c r="F288" s="14">
        <f ca="1">Start.listina!Z18</f>
        <v>33.563000000000002</v>
      </c>
      <c r="G288" s="7"/>
    </row>
    <row r="289" spans="1:7">
      <c r="A289" s="14">
        <f ca="1">Start.listina!U19</f>
        <v>18124</v>
      </c>
      <c r="B289" s="227" t="str">
        <f ca="1">Start.listina!V19</f>
        <v>Valošková</v>
      </c>
      <c r="C289" s="14" t="str">
        <f ca="1">Start.listina!W19</f>
        <v>Sára</v>
      </c>
      <c r="D289" s="14" t="str">
        <f ca="1">Start.listina!X19</f>
        <v>PK Polouvsí</v>
      </c>
      <c r="E289" s="14">
        <f ca="1">Start.listina!Y19</f>
        <v>27</v>
      </c>
      <c r="F289" s="14">
        <f ca="1">Start.listina!Z19</f>
        <v>45.25</v>
      </c>
      <c r="G289" s="7"/>
    </row>
    <row r="290" spans="1:7">
      <c r="A290" s="14">
        <f ca="1">Start.listina!U20</f>
        <v>28004</v>
      </c>
      <c r="B290" s="227" t="str">
        <f ca="1">Start.listina!V20</f>
        <v>Tománek</v>
      </c>
      <c r="C290" s="14" t="str">
        <f ca="1">Start.listina!W20</f>
        <v>Petr</v>
      </c>
      <c r="D290" s="14" t="str">
        <f ca="1">Start.listina!X20</f>
        <v>SKP Hranice VI-Valšovice</v>
      </c>
      <c r="E290" s="14">
        <f ca="1">Start.listina!Y20</f>
        <v>25</v>
      </c>
      <c r="F290" s="14">
        <f ca="1">Start.listina!Z20</f>
        <v>40.375</v>
      </c>
      <c r="G290" s="7"/>
    </row>
    <row r="291" spans="1:7">
      <c r="A291" s="14">
        <f ca="1">Start.listina!U21</f>
        <v>19034</v>
      </c>
      <c r="B291" s="227" t="str">
        <f ca="1">Start.listina!V21</f>
        <v>Valošek</v>
      </c>
      <c r="C291" s="14" t="str">
        <f ca="1">Start.listina!W21</f>
        <v>Hugo</v>
      </c>
      <c r="D291" s="14" t="str">
        <f ca="1">Start.listina!X21</f>
        <v>PK Polouvsí</v>
      </c>
      <c r="E291" s="14">
        <f ca="1">Start.listina!Y21</f>
        <v>85</v>
      </c>
      <c r="F291" s="14">
        <f ca="1">Start.listina!Z21</f>
        <v>34.125</v>
      </c>
      <c r="G291" s="7"/>
    </row>
    <row r="292" spans="1:7">
      <c r="A292" s="14">
        <f ca="1">Start.listina!U22</f>
        <v>13060</v>
      </c>
      <c r="B292" s="227" t="str">
        <f ca="1">Start.listina!V22</f>
        <v>Janík</v>
      </c>
      <c r="C292" s="14" t="str">
        <f ca="1">Start.listina!W22</f>
        <v>Petr</v>
      </c>
      <c r="D292" s="14" t="str">
        <f ca="1">Start.listina!X22</f>
        <v>P.C.B.D.</v>
      </c>
      <c r="E292" s="14">
        <f ca="1">Start.listina!Y22</f>
        <v>63</v>
      </c>
      <c r="F292" s="14">
        <f ca="1">Start.listina!Z22</f>
        <v>36</v>
      </c>
      <c r="G292" s="7"/>
    </row>
    <row r="293" spans="1:7">
      <c r="A293" s="14">
        <f ca="1">Start.listina!U23</f>
        <v>15001</v>
      </c>
      <c r="B293" s="227" t="str">
        <f ca="1">Start.listina!V23</f>
        <v>Ulmann</v>
      </c>
      <c r="C293" s="14" t="str">
        <f ca="1">Start.listina!W23</f>
        <v>Jiří</v>
      </c>
      <c r="D293" s="14" t="str">
        <f ca="1">Start.listina!X23</f>
        <v>TOP - ORLOVÁ</v>
      </c>
      <c r="E293" s="14">
        <f ca="1">Start.listina!Y23</f>
        <v>79</v>
      </c>
      <c r="F293" s="14">
        <f ca="1">Start.listina!Z23</f>
        <v>34.25</v>
      </c>
      <c r="G293" s="7"/>
    </row>
    <row r="294" spans="1:7">
      <c r="A294" s="14">
        <f ca="1">Start.listina!U24</f>
        <v>20505</v>
      </c>
      <c r="B294" s="227" t="str">
        <f ca="1">Start.listina!V24</f>
        <v>Zdobinská</v>
      </c>
      <c r="C294" s="14" t="str">
        <f ca="1">Start.listina!W24</f>
        <v>Karolína</v>
      </c>
      <c r="D294" s="14" t="str">
        <f ca="1">Start.listina!X24</f>
        <v>PC Sokol Lipník</v>
      </c>
      <c r="E294" s="14">
        <f ca="1">Start.listina!Y24</f>
        <v>53</v>
      </c>
      <c r="F294" s="14">
        <f ca="1">Start.listina!Z24</f>
        <v>30.812999999999999</v>
      </c>
      <c r="G294" s="7"/>
    </row>
    <row r="295" spans="1:7">
      <c r="A295" s="14">
        <f ca="1">Start.listina!U25</f>
        <v>29039</v>
      </c>
      <c r="B295" s="227" t="str">
        <f ca="1">Start.listina!V25</f>
        <v>Krpcová</v>
      </c>
      <c r="C295" s="14" t="str">
        <f ca="1">Start.listina!W25</f>
        <v>Jana</v>
      </c>
      <c r="D295" s="14" t="str">
        <f ca="1">Start.listina!X25</f>
        <v>HRODE KRUMSÍN</v>
      </c>
      <c r="E295" s="14">
        <f ca="1">Start.listina!Y25</f>
        <v>66</v>
      </c>
      <c r="F295" s="14">
        <f ca="1">Start.listina!Z25</f>
        <v>30.501000000000001</v>
      </c>
      <c r="G295" s="7"/>
    </row>
    <row r="296" spans="1:7">
      <c r="A296" s="14">
        <f ca="1">Start.listina!U26</f>
        <v>18132</v>
      </c>
      <c r="B296" s="227" t="str">
        <f ca="1">Start.listina!V26</f>
        <v>Vašíček</v>
      </c>
      <c r="C296" s="14" t="str">
        <f ca="1">Start.listina!W26</f>
        <v>Vladimír</v>
      </c>
      <c r="D296" s="14" t="str">
        <f ca="1">Start.listina!X26</f>
        <v>PK Polouvsí</v>
      </c>
      <c r="E296" s="14">
        <f ca="1">Start.listina!Y26</f>
        <v>64</v>
      </c>
      <c r="F296" s="14">
        <f ca="1">Start.listina!Z26</f>
        <v>29</v>
      </c>
      <c r="G296" s="7"/>
    </row>
    <row r="297" spans="1:7">
      <c r="A297" s="14">
        <f ca="1">Start.listina!U27</f>
        <v>16020</v>
      </c>
      <c r="B297" s="227" t="str">
        <f ca="1">Start.listina!V27</f>
        <v>Handl</v>
      </c>
      <c r="C297" s="14" t="str">
        <f ca="1">Start.listina!W27</f>
        <v>Zdeněk</v>
      </c>
      <c r="D297" s="14" t="str">
        <f ca="1">Start.listina!X27</f>
        <v>FENYX Adamov</v>
      </c>
      <c r="E297" s="14">
        <f ca="1">Start.listina!Y27</f>
        <v>167</v>
      </c>
      <c r="F297" s="14">
        <f ca="1">Start.listina!Z27</f>
        <v>21.125</v>
      </c>
      <c r="G297" s="7"/>
    </row>
    <row r="298" spans="1:7">
      <c r="A298" s="14">
        <f ca="1">Start.listina!U28</f>
        <v>17033</v>
      </c>
      <c r="B298" s="227" t="str">
        <f ca="1">Start.listina!V28</f>
        <v>Kobr</v>
      </c>
      <c r="C298" s="14" t="str">
        <f ca="1">Start.listina!W28</f>
        <v>Štěpán</v>
      </c>
      <c r="D298" s="14" t="str">
        <f ca="1">Start.listina!X28</f>
        <v>1. KPK Vrchlabí</v>
      </c>
      <c r="E298" s="14">
        <f ca="1">Start.listina!Y28</f>
        <v>324</v>
      </c>
      <c r="F298" s="14">
        <f ca="1">Start.listina!Z28</f>
        <v>10.625</v>
      </c>
      <c r="G298" s="7"/>
    </row>
    <row r="299" spans="1:7">
      <c r="A299" s="14">
        <f ca="1">Start.listina!U29</f>
        <v>16107</v>
      </c>
      <c r="B299" s="227" t="str">
        <f ca="1">Start.listina!V29</f>
        <v>Janeček</v>
      </c>
      <c r="C299" s="14" t="str">
        <f ca="1">Start.listina!W29</f>
        <v>Robert</v>
      </c>
      <c r="D299" s="14" t="str">
        <f ca="1">Start.listina!X29</f>
        <v>HRODE KRUMSÍN</v>
      </c>
      <c r="E299" s="14">
        <f ca="1">Start.listina!Y29</f>
        <v>105</v>
      </c>
      <c r="F299" s="14">
        <f ca="1">Start.listina!Z29</f>
        <v>21.376000000000001</v>
      </c>
      <c r="G299" s="7"/>
    </row>
    <row r="300" spans="1:7">
      <c r="A300" s="14">
        <f ca="1">Start.listina!U30</f>
        <v>20617</v>
      </c>
      <c r="B300" s="227" t="str">
        <f ca="1">Start.listina!V30</f>
        <v>Rendla</v>
      </c>
      <c r="C300" s="14" t="str">
        <f ca="1">Start.listina!W30</f>
        <v>Jakub</v>
      </c>
      <c r="D300" s="14" t="str">
        <f ca="1">Start.listina!X30</f>
        <v>Carreau Brno</v>
      </c>
      <c r="E300" s="14">
        <f ca="1">Start.listina!Y30</f>
        <v>16</v>
      </c>
      <c r="F300" s="14">
        <f ca="1">Start.listina!Z30</f>
        <v>37.625</v>
      </c>
      <c r="G300" s="7"/>
    </row>
    <row r="301" spans="1:7">
      <c r="A301" s="14">
        <f ca="1">Start.listina!U31</f>
        <v>11011</v>
      </c>
      <c r="B301" s="227" t="str">
        <f ca="1">Start.listina!V31</f>
        <v>Juráň</v>
      </c>
      <c r="C301" s="14" t="str">
        <f ca="1">Start.listina!W31</f>
        <v>Petr</v>
      </c>
      <c r="D301" s="14" t="str">
        <f ca="1">Start.listina!X31</f>
        <v>HRODE KRUMSÍN</v>
      </c>
      <c r="E301" s="14">
        <f ca="1">Start.listina!Y31</f>
        <v>65</v>
      </c>
      <c r="F301" s="14">
        <f ca="1">Start.listina!Z31</f>
        <v>39.5</v>
      </c>
      <c r="G301" s="7"/>
    </row>
    <row r="302" spans="1:7">
      <c r="A302" s="14">
        <f ca="1">Start.listina!U32</f>
        <v>98446</v>
      </c>
      <c r="B302" s="227" t="str">
        <f ca="1">Start.listina!V32</f>
        <v>Morávek</v>
      </c>
      <c r="C302" s="14" t="str">
        <f ca="1">Start.listina!W32</f>
        <v>Petr</v>
      </c>
      <c r="D302" s="14" t="str">
        <f ca="1">Start.listina!X32</f>
        <v>PC Sokol Lipník</v>
      </c>
      <c r="E302" s="14">
        <f ca="1">Start.listina!Y32</f>
        <v>117</v>
      </c>
      <c r="F302" s="14">
        <f ca="1">Start.listina!Z32</f>
        <v>33.25</v>
      </c>
      <c r="G302" s="7"/>
    </row>
    <row r="303" spans="1:7">
      <c r="A303" s="14">
        <f ca="1">Start.listina!U33</f>
        <v>10048</v>
      </c>
      <c r="B303" s="227" t="str">
        <f ca="1">Start.listina!V33</f>
        <v>Valík</v>
      </c>
      <c r="C303" s="14" t="str">
        <f ca="1">Start.listina!W33</f>
        <v>Václav</v>
      </c>
      <c r="D303" s="14" t="str">
        <f ca="1">Start.listina!X33</f>
        <v>PAK Albrechtice</v>
      </c>
      <c r="E303" s="14">
        <f ca="1">Start.listina!Y33</f>
        <v>76</v>
      </c>
      <c r="F303" s="14">
        <f ca="1">Start.listina!Z33</f>
        <v>26.437999999999999</v>
      </c>
      <c r="G303" s="7"/>
    </row>
    <row r="304" spans="1:7">
      <c r="A304" s="14">
        <f ca="1">Start.listina!U34</f>
        <v>15065</v>
      </c>
      <c r="B304" s="227" t="str">
        <f ca="1">Start.listina!V34</f>
        <v>Palas</v>
      </c>
      <c r="C304" s="14" t="str">
        <f ca="1">Start.listina!W34</f>
        <v>Pavel</v>
      </c>
      <c r="D304" s="14" t="str">
        <f ca="1">Start.listina!X34</f>
        <v>UBU Únětice</v>
      </c>
      <c r="E304" s="14">
        <f ca="1">Start.listina!Y34</f>
        <v>44</v>
      </c>
      <c r="F304" s="14">
        <f ca="1">Start.listina!Z34</f>
        <v>29.125</v>
      </c>
      <c r="G304" s="7"/>
    </row>
    <row r="305" spans="1:7">
      <c r="A305" s="14">
        <f ca="1">Start.listina!U35</f>
        <v>21072</v>
      </c>
      <c r="B305" s="227" t="str">
        <f ca="1">Start.listina!V35</f>
        <v>Kutra</v>
      </c>
      <c r="C305" s="14" t="str">
        <f ca="1">Start.listina!W35</f>
        <v>Oldřích</v>
      </c>
      <c r="D305" s="14" t="str">
        <f ca="1">Start.listina!X35</f>
        <v>1. Starobrněnský PK</v>
      </c>
      <c r="E305" s="14">
        <f ca="1">Start.listina!Y35</f>
        <v>154</v>
      </c>
      <c r="F305" s="14">
        <f ca="1">Start.listina!Z35</f>
        <v>23.876000000000001</v>
      </c>
      <c r="G305" s="7"/>
    </row>
    <row r="306" spans="1:7">
      <c r="A306" s="14">
        <f ca="1">Start.listina!U36</f>
        <v>22991</v>
      </c>
      <c r="B306" s="227" t="str">
        <f ca="1">Start.listina!V36</f>
        <v>Koreš ml.</v>
      </c>
      <c r="C306" s="14" t="str">
        <f ca="1">Start.listina!W36</f>
        <v>Jiří</v>
      </c>
      <c r="D306" s="14" t="str">
        <f ca="1">Start.listina!X36</f>
        <v>HAVAJ CB</v>
      </c>
      <c r="E306" s="14">
        <f ca="1">Start.listina!Y36</f>
        <v>148</v>
      </c>
      <c r="F306" s="14">
        <f ca="1">Start.listina!Z36</f>
        <v>12</v>
      </c>
      <c r="G306" s="7"/>
    </row>
    <row r="307" spans="1:7">
      <c r="A307" s="14">
        <f ca="1">Start.listina!U37</f>
        <v>12086</v>
      </c>
      <c r="B307" s="227" t="str">
        <f ca="1">Start.listina!V37</f>
        <v>Froněk st.</v>
      </c>
      <c r="C307" s="14" t="str">
        <f ca="1">Start.listina!W37</f>
        <v>Jiří</v>
      </c>
      <c r="D307" s="14" t="str">
        <f ca="1">Start.listina!X37</f>
        <v>CdP Loděnice</v>
      </c>
      <c r="E307" s="14">
        <f ca="1">Start.listina!Y37</f>
        <v>55</v>
      </c>
      <c r="F307" s="14">
        <f ca="1">Start.listina!Z37</f>
        <v>43.875</v>
      </c>
      <c r="G307" s="7"/>
    </row>
    <row r="308" spans="1:7">
      <c r="A308" s="14">
        <f ca="1">Start.listina!U38</f>
        <v>14099</v>
      </c>
      <c r="B308" s="227" t="str">
        <f ca="1">Start.listina!V38</f>
        <v>Klouda</v>
      </c>
      <c r="C308" s="14" t="str">
        <f ca="1">Start.listina!W38</f>
        <v>Aleš</v>
      </c>
      <c r="D308" s="14" t="str">
        <f ca="1">Start.listina!X38</f>
        <v>Petank Club Praha</v>
      </c>
      <c r="E308" s="14">
        <f ca="1">Start.listina!Y38</f>
        <v>69</v>
      </c>
      <c r="F308" s="14">
        <f ca="1">Start.listina!Z38</f>
        <v>32.75</v>
      </c>
      <c r="G308" s="7"/>
    </row>
    <row r="309" spans="1:7">
      <c r="A309" s="14">
        <f ca="1">Start.listina!U39</f>
        <v>15008</v>
      </c>
      <c r="B309" s="227" t="str">
        <f ca="1">Start.listina!V39</f>
        <v>Skopal</v>
      </c>
      <c r="C309" s="14" t="str">
        <f ca="1">Start.listina!W39</f>
        <v>Radek</v>
      </c>
      <c r="D309" s="14" t="str">
        <f ca="1">Start.listina!X39</f>
        <v>Kulový blesk Olomouc</v>
      </c>
      <c r="E309" s="14">
        <f ca="1">Start.listina!Y39</f>
        <v>62</v>
      </c>
      <c r="F309" s="14">
        <f ca="1">Start.listina!Z39</f>
        <v>33.688000000000002</v>
      </c>
      <c r="G309" s="7"/>
    </row>
    <row r="310" spans="1:7">
      <c r="A310" s="14">
        <f ca="1">Start.listina!U40</f>
        <v>12037</v>
      </c>
      <c r="B310" s="227" t="str">
        <f ca="1">Start.listina!V40</f>
        <v>Krejčínová</v>
      </c>
      <c r="C310" s="14" t="str">
        <f ca="1">Start.listina!W40</f>
        <v>Milena</v>
      </c>
      <c r="D310" s="14" t="str">
        <f ca="1">Start.listina!X40</f>
        <v>SKP Kulová osma</v>
      </c>
      <c r="E310" s="14">
        <f ca="1">Start.listina!Y40</f>
        <v>35</v>
      </c>
      <c r="F310" s="14">
        <f ca="1">Start.listina!Z40</f>
        <v>30.062999999999999</v>
      </c>
      <c r="G310" s="7"/>
    </row>
    <row r="311" spans="1:7">
      <c r="A311" s="14">
        <f ca="1">Start.listina!U41</f>
        <v>15068</v>
      </c>
      <c r="B311" s="227" t="str">
        <f ca="1">Start.listina!V41</f>
        <v>Žárský</v>
      </c>
      <c r="C311" s="14" t="str">
        <f ca="1">Start.listina!W41</f>
        <v>Kamil</v>
      </c>
      <c r="D311" s="14" t="str">
        <f ca="1">Start.listina!X41</f>
        <v>POP Praha</v>
      </c>
      <c r="E311" s="14">
        <f ca="1">Start.listina!Y41</f>
        <v>95</v>
      </c>
      <c r="F311" s="14">
        <f ca="1">Start.listina!Z41</f>
        <v>22.626000000000001</v>
      </c>
      <c r="G311" s="7"/>
    </row>
    <row r="312" spans="1:7">
      <c r="A312" s="14">
        <f ca="1">Start.listina!U42</f>
        <v>16117</v>
      </c>
      <c r="B312" s="227" t="str">
        <f ca="1">Start.listina!V42</f>
        <v>Stejskal</v>
      </c>
      <c r="C312" s="14" t="str">
        <f ca="1">Start.listina!W42</f>
        <v>Václav</v>
      </c>
      <c r="D312" s="14" t="str">
        <f ca="1">Start.listina!X42</f>
        <v>JAPKO</v>
      </c>
      <c r="E312" s="14">
        <f ca="1">Start.listina!Y42</f>
        <v>88</v>
      </c>
      <c r="F312" s="14">
        <f ca="1">Start.listina!Z42</f>
        <v>33.75</v>
      </c>
      <c r="G312" s="7"/>
    </row>
    <row r="313" spans="1:7">
      <c r="A313" s="14">
        <f ca="1">Start.listina!U43</f>
        <v>20579</v>
      </c>
      <c r="B313" s="227" t="str">
        <f ca="1">Start.listina!V43</f>
        <v>Rusková</v>
      </c>
      <c r="C313" s="14" t="str">
        <f ca="1">Start.listina!W43</f>
        <v>Rozálie</v>
      </c>
      <c r="D313" s="14" t="str">
        <f ca="1">Start.listina!X43</f>
        <v>PK Polouvsí</v>
      </c>
      <c r="E313" s="14">
        <f ca="1">Start.listina!Y43</f>
        <v>241</v>
      </c>
      <c r="F313" s="14">
        <f ca="1">Start.listina!Z43</f>
        <v>17.032</v>
      </c>
      <c r="G313" s="7"/>
    </row>
    <row r="314" spans="1:7">
      <c r="A314" s="14">
        <f ca="1">Start.listina!U44</f>
        <v>11031</v>
      </c>
      <c r="B314" s="227" t="str">
        <f ca="1">Start.listina!V44</f>
        <v>Šipr</v>
      </c>
      <c r="C314" s="14" t="str">
        <f ca="1">Start.listina!W44</f>
        <v>Jiří</v>
      </c>
      <c r="D314" s="14" t="str">
        <f ca="1">Start.listina!X44</f>
        <v>1. Starobrněnský PK</v>
      </c>
      <c r="E314" s="14">
        <f ca="1">Start.listina!Y44</f>
        <v>134</v>
      </c>
      <c r="F314" s="14">
        <f ca="1">Start.listina!Z44</f>
        <v>25.187999999999999</v>
      </c>
      <c r="G314" s="7"/>
    </row>
    <row r="315" spans="1:7">
      <c r="A315" s="14">
        <f ca="1">Start.listina!U45</f>
        <v>18130</v>
      </c>
      <c r="B315" s="227" t="str">
        <f ca="1">Start.listina!V45</f>
        <v>Semrád</v>
      </c>
      <c r="C315" s="14" t="str">
        <f ca="1">Start.listina!W45</f>
        <v>Oldřich</v>
      </c>
      <c r="D315" s="14" t="str">
        <f ca="1">Start.listina!X45</f>
        <v>PKT Velký Šanc</v>
      </c>
      <c r="E315" s="14">
        <f ca="1">Start.listina!Y45</f>
        <v>127</v>
      </c>
      <c r="F315" s="14">
        <f ca="1">Start.listina!Z45</f>
        <v>22.126000000000001</v>
      </c>
      <c r="G315" s="7"/>
    </row>
    <row r="316" spans="1:7">
      <c r="A316" s="14">
        <f ca="1">Start.listina!U46</f>
        <v>98482</v>
      </c>
      <c r="B316" s="227" t="str">
        <f ca="1">Start.listina!V46</f>
        <v>Marcián</v>
      </c>
      <c r="C316" s="14" t="str">
        <f ca="1">Start.listina!W46</f>
        <v>Vladimír</v>
      </c>
      <c r="D316" s="14" t="str">
        <f ca="1">Start.listina!X46</f>
        <v>HRODE KRUMSÍN</v>
      </c>
      <c r="E316" s="14">
        <f ca="1">Start.listina!Y46</f>
        <v>136</v>
      </c>
      <c r="F316" s="14">
        <f ca="1">Start.listina!Z46</f>
        <v>23.22</v>
      </c>
      <c r="G316" s="7"/>
    </row>
    <row r="317" spans="1:7">
      <c r="A317" s="14">
        <f ca="1">Start.listina!U47</f>
        <v>21913</v>
      </c>
      <c r="B317" s="227" t="str">
        <f ca="1">Start.listina!V47</f>
        <v>Korešová</v>
      </c>
      <c r="C317" s="14" t="str">
        <f ca="1">Start.listina!W47</f>
        <v>Alena</v>
      </c>
      <c r="D317" s="14" t="str">
        <f ca="1">Start.listina!X47</f>
        <v>HAVAJ CB</v>
      </c>
      <c r="E317" s="14">
        <f ca="1">Start.listina!Y47</f>
        <v>47</v>
      </c>
      <c r="F317" s="14">
        <f ca="1">Start.listina!Z47</f>
        <v>28.375</v>
      </c>
      <c r="G317" s="7"/>
    </row>
    <row r="318" spans="1:7">
      <c r="A318" s="14">
        <f ca="1">Start.listina!U48</f>
        <v>22182</v>
      </c>
      <c r="B318" s="227" t="str">
        <f ca="1">Start.listina!V48</f>
        <v>Staneková</v>
      </c>
      <c r="C318" s="14" t="str">
        <f ca="1">Start.listina!W48</f>
        <v>Gabriela</v>
      </c>
      <c r="D318" s="14" t="str">
        <f ca="1">Start.listina!X48</f>
        <v>PC Damníkov</v>
      </c>
      <c r="E318" s="14">
        <f ca="1">Start.listina!Y48</f>
        <v>137</v>
      </c>
      <c r="F318" s="14">
        <f ca="1">Start.listina!Z48</f>
        <v>20.533000000000001</v>
      </c>
      <c r="G318" s="7"/>
    </row>
    <row r="319" spans="1:7">
      <c r="A319" s="14">
        <f ca="1">Start.listina!U49</f>
        <v>18001</v>
      </c>
      <c r="B319" s="227" t="str">
        <f ca="1">Start.listina!V49</f>
        <v>Matuška</v>
      </c>
      <c r="C319" s="14" t="str">
        <f ca="1">Start.listina!W49</f>
        <v>Vladimír</v>
      </c>
      <c r="D319" s="14" t="str">
        <f ca="1">Start.listina!X49</f>
        <v>Orel Řečkovice</v>
      </c>
      <c r="E319" s="14">
        <f ca="1">Start.listina!Y49</f>
        <v>146</v>
      </c>
      <c r="F319" s="14">
        <f ca="1">Start.listina!Z49</f>
        <v>27.564</v>
      </c>
      <c r="G319" s="7"/>
    </row>
    <row r="320" spans="1:7">
      <c r="A320" s="14">
        <f ca="1">Start.listina!U50</f>
        <v>22179</v>
      </c>
      <c r="B320" s="227" t="str">
        <f ca="1">Start.listina!V50</f>
        <v>Hlucho-Horvát</v>
      </c>
      <c r="C320" s="14" t="str">
        <f ca="1">Start.listina!W50</f>
        <v>Ladislav</v>
      </c>
      <c r="D320" s="14" t="str">
        <f ca="1">Start.listina!X50</f>
        <v>PC Mimo Done</v>
      </c>
      <c r="E320" s="14">
        <f ca="1">Start.listina!Y50</f>
        <v>151</v>
      </c>
      <c r="F320" s="14">
        <f ca="1">Start.listina!Z50</f>
        <v>19.001000000000001</v>
      </c>
      <c r="G320" s="7"/>
    </row>
    <row r="321" spans="1:7">
      <c r="A321" s="14">
        <f ca="1">Start.listina!U51</f>
        <v>20511</v>
      </c>
      <c r="B321" s="227" t="str">
        <f ca="1">Start.listina!V51</f>
        <v>Malina</v>
      </c>
      <c r="C321" s="14" t="str">
        <f ca="1">Start.listina!W51</f>
        <v>František</v>
      </c>
      <c r="D321" s="14" t="str">
        <f ca="1">Start.listina!X51</f>
        <v>PC Sokol PP Hr. Králové</v>
      </c>
      <c r="E321" s="14">
        <f ca="1">Start.listina!Y51</f>
        <v>209</v>
      </c>
      <c r="F321" s="14">
        <f ca="1">Start.listina!Z51</f>
        <v>12.845000000000001</v>
      </c>
      <c r="G321" s="7"/>
    </row>
    <row r="322" spans="1:7">
      <c r="A322" s="14">
        <f ca="1">Start.listina!U52</f>
        <v>99510</v>
      </c>
      <c r="B322" s="227" t="str">
        <f ca="1">Start.listina!V52</f>
        <v>Demčík</v>
      </c>
      <c r="C322" s="14" t="str">
        <f ca="1">Start.listina!W52</f>
        <v>Milan</v>
      </c>
      <c r="D322" s="14" t="str">
        <f ca="1">Start.listina!X52</f>
        <v>SK Sahara Vědomice</v>
      </c>
      <c r="E322" s="14">
        <f ca="1">Start.listina!Y52</f>
        <v>93</v>
      </c>
      <c r="F322" s="14">
        <f ca="1">Start.listina!Z52</f>
        <v>33.438000000000002</v>
      </c>
      <c r="G322" s="7"/>
    </row>
    <row r="323" spans="1:7">
      <c r="A323" s="14">
        <f ca="1">Start.listina!U53</f>
        <v>12042</v>
      </c>
      <c r="B323" s="227" t="str">
        <f ca="1">Start.listina!V53</f>
        <v>Pilát</v>
      </c>
      <c r="C323" s="14" t="str">
        <f ca="1">Start.listina!W53</f>
        <v>Petr</v>
      </c>
      <c r="D323" s="14" t="str">
        <f ca="1">Start.listina!X53</f>
        <v>SKP Kulová osma</v>
      </c>
      <c r="E323" s="14">
        <f ca="1">Start.listina!Y53</f>
        <v>161</v>
      </c>
      <c r="F323" s="14">
        <f ca="1">Start.listina!Z53</f>
        <v>23.751000000000001</v>
      </c>
      <c r="G323" s="7"/>
    </row>
    <row r="324" spans="1:7">
      <c r="A324" s="14">
        <f ca="1">Start.listina!U54</f>
        <v>20573</v>
      </c>
      <c r="B324" s="227" t="str">
        <f ca="1">Start.listina!V54</f>
        <v>Vávrová</v>
      </c>
      <c r="C324" s="14" t="str">
        <f ca="1">Start.listina!W54</f>
        <v>Ivana</v>
      </c>
      <c r="D324" s="14" t="str">
        <f ca="1">Start.listina!X54</f>
        <v>PC Sokol PP Hr. Králové</v>
      </c>
      <c r="E324" s="14">
        <f ca="1">Start.listina!Y54</f>
        <v>175</v>
      </c>
      <c r="F324" s="14">
        <f ca="1">Start.listina!Z54</f>
        <v>22.564</v>
      </c>
      <c r="G324" s="7"/>
    </row>
    <row r="325" spans="1:7">
      <c r="A325" s="14">
        <f ca="1">Start.listina!U55</f>
        <v>20602</v>
      </c>
      <c r="B325" s="227" t="str">
        <f ca="1">Start.listina!V55</f>
        <v>Flek</v>
      </c>
      <c r="C325" s="14" t="str">
        <f ca="1">Start.listina!W55</f>
        <v>Vratislav</v>
      </c>
      <c r="D325" s="14" t="str">
        <f ca="1">Start.listina!X55</f>
        <v>PSK Jihlava</v>
      </c>
      <c r="E325" s="14">
        <f ca="1">Start.listina!Y55</f>
        <v>239</v>
      </c>
      <c r="F325" s="14">
        <f ca="1">Start.listina!Z55</f>
        <v>18.657</v>
      </c>
      <c r="G325" s="7"/>
    </row>
    <row r="326" spans="1:7">
      <c r="A326" s="14">
        <f ca="1">Start.listina!U56</f>
        <v>15059</v>
      </c>
      <c r="B326" s="227" t="str">
        <f ca="1">Start.listina!V56</f>
        <v>Gröschl</v>
      </c>
      <c r="C326" s="14" t="str">
        <f ca="1">Start.listina!W56</f>
        <v>Zdeněk</v>
      </c>
      <c r="D326" s="14" t="str">
        <f ca="1">Start.listina!X56</f>
        <v>SK Sahara Vědomice</v>
      </c>
      <c r="E326" s="14">
        <f ca="1">Start.listina!Y56</f>
        <v>206</v>
      </c>
      <c r="F326" s="14">
        <f ca="1">Start.listina!Z56</f>
        <v>12.188000000000001</v>
      </c>
      <c r="G326" s="7"/>
    </row>
    <row r="327" spans="1:7">
      <c r="A327" s="14">
        <f ca="1">Start.listina!U57</f>
        <v>19021</v>
      </c>
      <c r="B327" s="227" t="str">
        <f ca="1">Start.listina!V57</f>
        <v>Chodúr</v>
      </c>
      <c r="C327" s="14" t="str">
        <f ca="1">Start.listina!W57</f>
        <v>Peter</v>
      </c>
      <c r="D327" s="14" t="str">
        <f ca="1">Start.listina!X57</f>
        <v>HRODE KRUMSÍN</v>
      </c>
      <c r="E327" s="14">
        <f ca="1">Start.listina!Y57</f>
        <v>160</v>
      </c>
      <c r="F327" s="14">
        <f ca="1">Start.listina!Z57</f>
        <v>20.594999999999999</v>
      </c>
      <c r="G327" s="7"/>
    </row>
    <row r="328" spans="1:7">
      <c r="A328" s="14">
        <f ca="1">Start.listina!U58</f>
        <v>16082</v>
      </c>
      <c r="B328" s="227" t="str">
        <f ca="1">Start.listina!V58</f>
        <v>Pastorek</v>
      </c>
      <c r="C328" s="14" t="str">
        <f ca="1">Start.listina!W58</f>
        <v>Jaroslav</v>
      </c>
      <c r="D328" s="14" t="str">
        <f ca="1">Start.listina!X58</f>
        <v>SK Pétanque Řepy</v>
      </c>
      <c r="E328" s="14">
        <f ca="1">Start.listina!Y58</f>
        <v>135</v>
      </c>
      <c r="F328" s="14">
        <f ca="1">Start.listina!Z58</f>
        <v>23.501000000000001</v>
      </c>
      <c r="G328" s="7"/>
    </row>
    <row r="329" spans="1:7">
      <c r="A329" s="14">
        <f ca="1">Start.listina!U59</f>
        <v>21007</v>
      </c>
      <c r="B329" s="227" t="str">
        <f ca="1">Start.listina!V59</f>
        <v>Seredová</v>
      </c>
      <c r="C329" s="14" t="str">
        <f ca="1">Start.listina!W59</f>
        <v>Lucie</v>
      </c>
      <c r="D329" s="14" t="str">
        <f ca="1">Start.listina!X59</f>
        <v>FENYX Adamov</v>
      </c>
      <c r="E329" s="14">
        <f ca="1">Start.listina!Y59</f>
        <v>235</v>
      </c>
      <c r="F329" s="14">
        <f ca="1">Start.listina!Z59</f>
        <v>17.564</v>
      </c>
      <c r="G329" s="7"/>
    </row>
    <row r="330" spans="1:7">
      <c r="A330" s="14">
        <f ca="1">Start.listina!U60</f>
        <v>17093</v>
      </c>
      <c r="B330" s="227" t="str">
        <f ca="1">Start.listina!V60</f>
        <v>Žiak</v>
      </c>
      <c r="C330" s="14" t="str">
        <f ca="1">Start.listina!W60</f>
        <v>Radomír</v>
      </c>
      <c r="D330" s="14" t="str">
        <f ca="1">Start.listina!X60</f>
        <v>PAK Albrechtice</v>
      </c>
      <c r="E330" s="14">
        <f ca="1">Start.listina!Y60</f>
        <v>119</v>
      </c>
      <c r="F330" s="14">
        <f ca="1">Start.listina!Z60</f>
        <v>22.562999999999999</v>
      </c>
      <c r="G330" s="7"/>
    </row>
    <row r="331" spans="1:7">
      <c r="A331" s="14">
        <f ca="1">Start.listina!U61</f>
        <v>16060</v>
      </c>
      <c r="B331" s="227" t="str">
        <f ca="1">Start.listina!V61</f>
        <v>Kremlík</v>
      </c>
      <c r="C331" s="14" t="str">
        <f ca="1">Start.listina!W61</f>
        <v>Miroslav</v>
      </c>
      <c r="D331" s="14" t="str">
        <f ca="1">Start.listina!X61</f>
        <v>Spolek Park Grébovka</v>
      </c>
      <c r="E331" s="14">
        <f ca="1">Start.listina!Y61</f>
        <v>260</v>
      </c>
      <c r="F331" s="14">
        <f ca="1">Start.listina!Z61</f>
        <v>12.563000000000001</v>
      </c>
      <c r="G331" s="7"/>
    </row>
    <row r="332" spans="1:7">
      <c r="A332" s="14">
        <f ca="1">Start.listina!U62</f>
        <v>20503</v>
      </c>
      <c r="B332" s="227" t="str">
        <f ca="1">Start.listina!V62</f>
        <v>Pokorná</v>
      </c>
      <c r="C332" s="14" t="str">
        <f ca="1">Start.listina!W62</f>
        <v>Lucie</v>
      </c>
      <c r="D332" s="14" t="str">
        <f ca="1">Start.listina!X62</f>
        <v>Carreau Brno</v>
      </c>
      <c r="E332" s="14">
        <f ca="1">Start.listina!Y62</f>
        <v>242</v>
      </c>
      <c r="F332" s="14">
        <f ca="1">Start.listina!Z62</f>
        <v>13.782</v>
      </c>
      <c r="G332" s="7"/>
    </row>
    <row r="333" spans="1:7">
      <c r="A333" s="14">
        <f ca="1">Start.listina!U63</f>
        <v>29009</v>
      </c>
      <c r="B333" s="227" t="str">
        <f ca="1">Start.listina!V63</f>
        <v>Proroková</v>
      </c>
      <c r="C333" s="14" t="str">
        <f ca="1">Start.listina!W63</f>
        <v>Dana</v>
      </c>
      <c r="D333" s="14" t="str">
        <f ca="1">Start.listina!X63</f>
        <v>PC Sokol Velim</v>
      </c>
      <c r="E333" s="14">
        <f ca="1">Start.listina!Y63</f>
        <v>230</v>
      </c>
      <c r="F333" s="14">
        <f ca="1">Start.listina!Z63</f>
        <v>11.939</v>
      </c>
      <c r="G333" s="7"/>
    </row>
    <row r="334" spans="1:7">
      <c r="A334" s="14">
        <f ca="1">Start.listina!U64</f>
        <v>24536</v>
      </c>
      <c r="B334" s="227" t="str">
        <f ca="1">Start.listina!V64</f>
        <v>Zmrhal</v>
      </c>
      <c r="C334" s="14" t="str">
        <f ca="1">Start.listina!W64</f>
        <v>Milan</v>
      </c>
      <c r="D334" s="14" t="str">
        <f ca="1">Start.listina!X64</f>
        <v>PO Chotěboř</v>
      </c>
      <c r="E334" s="14">
        <f ca="1">Start.listina!Y64</f>
        <v>590</v>
      </c>
      <c r="F334" s="14">
        <f ca="1">Start.listina!Z64</f>
        <v>0.34399999999999997</v>
      </c>
      <c r="G334" s="7"/>
    </row>
    <row r="335" spans="1:7">
      <c r="A335" s="14">
        <f ca="1">Start.listina!U65</f>
        <v>21063</v>
      </c>
      <c r="B335" s="227" t="str">
        <f ca="1">Start.listina!V65</f>
        <v>Lukášová</v>
      </c>
      <c r="C335" s="14" t="str">
        <f ca="1">Start.listina!W65</f>
        <v>Jarmila</v>
      </c>
      <c r="D335" s="14" t="str">
        <f ca="1">Start.listina!X65</f>
        <v>BePeC 2016</v>
      </c>
      <c r="E335" s="14">
        <f ca="1">Start.listina!Y65</f>
        <v>421</v>
      </c>
      <c r="F335" s="14">
        <f ca="1">Start.listina!Z65</f>
        <v>3.9079999999999999</v>
      </c>
      <c r="G335" s="7"/>
    </row>
    <row r="336" spans="1:7">
      <c r="A336" s="14">
        <f ca="1">Start.listina!U66</f>
        <v>20583</v>
      </c>
      <c r="B336" s="227" t="str">
        <f ca="1">Start.listina!V66</f>
        <v>Flek</v>
      </c>
      <c r="C336" s="14" t="str">
        <f ca="1">Start.listina!W66</f>
        <v>Petr</v>
      </c>
      <c r="D336" s="14" t="str">
        <f ca="1">Start.listina!X66</f>
        <v>PSK Jihlava</v>
      </c>
      <c r="E336" s="14">
        <f ca="1">Start.listina!Y66</f>
        <v>487</v>
      </c>
      <c r="F336" s="14">
        <f ca="1">Start.listina!Z66</f>
        <v>2.5470000000000002</v>
      </c>
      <c r="G336" s="7"/>
    </row>
    <row r="337" spans="1:7">
      <c r="A337" s="14">
        <f ca="1">Start.listina!U67</f>
        <v>24547</v>
      </c>
      <c r="B337" s="227" t="str">
        <f ca="1">Start.listina!V67</f>
        <v>Pokorný</v>
      </c>
      <c r="C337" s="14" t="str">
        <f ca="1">Start.listina!W67</f>
        <v>Karel</v>
      </c>
      <c r="D337" s="14" t="str">
        <f ca="1">Start.listina!X67</f>
        <v>PSK Jihlava</v>
      </c>
      <c r="E337" s="14">
        <f ca="1">Start.listina!Y67</f>
        <v>717</v>
      </c>
      <c r="F337" s="14">
        <f ca="1">Start.listina!Z67</f>
        <v>0</v>
      </c>
      <c r="G337" s="7"/>
    </row>
    <row r="338" spans="1:7">
      <c r="A338" s="14">
        <f ca="1">Start.listina!U68</f>
        <v>20592</v>
      </c>
      <c r="B338" s="227" t="str">
        <f ca="1">Start.listina!V68</f>
        <v>Pavlíková</v>
      </c>
      <c r="C338" s="14" t="str">
        <f ca="1">Start.listina!W68</f>
        <v>Marie</v>
      </c>
      <c r="D338" s="14" t="str">
        <f ca="1">Start.listina!X68</f>
        <v>PSK Jihlava</v>
      </c>
      <c r="E338" s="14">
        <f ca="1">Start.listina!Y68</f>
        <v>709</v>
      </c>
      <c r="F338" s="14">
        <f ca="1">Start.listina!Z68</f>
        <v>0</v>
      </c>
      <c r="G338" s="7"/>
    </row>
    <row r="339" spans="1:7">
      <c r="A339" s="14">
        <f ca="1">Start.listina!U69</f>
        <v>20601</v>
      </c>
      <c r="B339" s="227" t="str">
        <f ca="1">Start.listina!V69</f>
        <v>Litvin</v>
      </c>
      <c r="C339" s="14" t="str">
        <f ca="1">Start.listina!W69</f>
        <v>Vasil</v>
      </c>
      <c r="D339" s="14" t="str">
        <f ca="1">Start.listina!X69</f>
        <v>PSK Jihlava</v>
      </c>
      <c r="E339" s="14">
        <f ca="1">Start.listina!Y69</f>
        <v>457</v>
      </c>
      <c r="F339" s="14">
        <f ca="1">Start.listina!Z69</f>
        <v>4.0629999999999997</v>
      </c>
      <c r="G339" s="7"/>
    </row>
    <row r="340" spans="1:7">
      <c r="A340" s="14" t="str">
        <f ca="1">Start.listina!U70</f>
        <v/>
      </c>
      <c r="B340" s="227" t="str">
        <f ca="1">Start.listina!V70</f>
        <v xml:space="preserve"> </v>
      </c>
      <c r="C340" s="14" t="str">
        <f ca="1">Start.listina!W70</f>
        <v xml:space="preserve"> </v>
      </c>
      <c r="D340" s="14" t="str">
        <f ca="1">Start.listina!X70</f>
        <v xml:space="preserve"> </v>
      </c>
      <c r="E340" s="14">
        <f ca="1">Start.listina!Y70</f>
        <v>9999</v>
      </c>
      <c r="F340" s="14">
        <f ca="1">Start.listina!Z70</f>
        <v>0</v>
      </c>
      <c r="G340" s="7"/>
    </row>
    <row r="341" spans="1:7">
      <c r="A341" s="14" t="str">
        <f ca="1">Start.listina!U71</f>
        <v/>
      </c>
      <c r="B341" s="227" t="str">
        <f ca="1">Start.listina!V71</f>
        <v xml:space="preserve"> </v>
      </c>
      <c r="C341" s="14" t="str">
        <f ca="1">Start.listina!W71</f>
        <v xml:space="preserve"> </v>
      </c>
      <c r="D341" s="14" t="str">
        <f ca="1">Start.listina!X71</f>
        <v xml:space="preserve"> </v>
      </c>
      <c r="E341" s="14">
        <f ca="1">Start.listina!Y71</f>
        <v>9999</v>
      </c>
      <c r="F341" s="14">
        <f ca="1">Start.listina!Z71</f>
        <v>0</v>
      </c>
      <c r="G341" s="7"/>
    </row>
    <row r="342" spans="1:7">
      <c r="A342" s="14" t="str">
        <f ca="1">Start.listina!U72</f>
        <v/>
      </c>
      <c r="B342" s="227" t="str">
        <f ca="1">Start.listina!V72</f>
        <v xml:space="preserve"> </v>
      </c>
      <c r="C342" s="14" t="str">
        <f ca="1">Start.listina!W72</f>
        <v xml:space="preserve"> </v>
      </c>
      <c r="D342" s="14" t="str">
        <f ca="1">Start.listina!X72</f>
        <v xml:space="preserve"> </v>
      </c>
      <c r="E342" s="14">
        <f ca="1">Start.listina!Y72</f>
        <v>9999</v>
      </c>
      <c r="F342" s="14">
        <f ca="1">Start.listina!Z72</f>
        <v>0</v>
      </c>
      <c r="G342" s="7"/>
    </row>
    <row r="343" spans="1:7">
      <c r="A343" s="14" t="str">
        <f ca="1">Start.listina!U73</f>
        <v/>
      </c>
      <c r="B343" s="227" t="str">
        <f ca="1">Start.listina!V73</f>
        <v xml:space="preserve"> </v>
      </c>
      <c r="C343" s="14" t="str">
        <f ca="1">Start.listina!W73</f>
        <v xml:space="preserve"> </v>
      </c>
      <c r="D343" s="14" t="str">
        <f ca="1">Start.listina!X73</f>
        <v xml:space="preserve"> </v>
      </c>
      <c r="E343" s="14">
        <f ca="1">Start.listina!Y73</f>
        <v>9999</v>
      </c>
      <c r="F343" s="14">
        <f ca="1">Start.listina!Z73</f>
        <v>0</v>
      </c>
      <c r="G343" s="7"/>
    </row>
    <row r="344" spans="1:7">
      <c r="A344" s="14" t="str">
        <f ca="1">Start.listina!U74</f>
        <v/>
      </c>
      <c r="B344" s="227" t="str">
        <f ca="1">Start.listina!V74</f>
        <v xml:space="preserve"> </v>
      </c>
      <c r="C344" s="14" t="str">
        <f ca="1">Start.listina!W74</f>
        <v xml:space="preserve"> </v>
      </c>
      <c r="D344" s="14" t="str">
        <f ca="1">Start.listina!X74</f>
        <v xml:space="preserve"> </v>
      </c>
      <c r="E344" s="14">
        <f ca="1">Start.listina!Y74</f>
        <v>9999</v>
      </c>
      <c r="F344" s="14">
        <f ca="1">Start.listina!Z74</f>
        <v>0</v>
      </c>
      <c r="G344" s="7"/>
    </row>
    <row r="345" spans="1:7">
      <c r="A345" s="14" t="str">
        <f ca="1">Start.listina!U75</f>
        <v/>
      </c>
      <c r="B345" s="227" t="str">
        <f ca="1">Start.listina!V75</f>
        <v xml:space="preserve"> </v>
      </c>
      <c r="C345" s="14" t="str">
        <f ca="1">Start.listina!W75</f>
        <v xml:space="preserve"> </v>
      </c>
      <c r="D345" s="14" t="str">
        <f ca="1">Start.listina!X75</f>
        <v xml:space="preserve"> </v>
      </c>
      <c r="E345" s="14">
        <f ca="1">Start.listina!Y75</f>
        <v>9999</v>
      </c>
      <c r="F345" s="14">
        <f ca="1">Start.listina!Z75</f>
        <v>0</v>
      </c>
      <c r="G345" s="7"/>
    </row>
    <row r="346" spans="1:7">
      <c r="A346" s="14" t="str">
        <f ca="1">Start.listina!U76</f>
        <v/>
      </c>
      <c r="B346" s="227" t="str">
        <f ca="1">Start.listina!V76</f>
        <v xml:space="preserve"> </v>
      </c>
      <c r="C346" s="14" t="str">
        <f ca="1">Start.listina!W76</f>
        <v xml:space="preserve"> </v>
      </c>
      <c r="D346" s="14" t="str">
        <f ca="1">Start.listina!X76</f>
        <v xml:space="preserve"> </v>
      </c>
      <c r="E346" s="14">
        <f ca="1">Start.listina!Y76</f>
        <v>9999</v>
      </c>
      <c r="F346" s="14">
        <f ca="1">Start.listina!Z76</f>
        <v>0</v>
      </c>
      <c r="G346" s="7"/>
    </row>
    <row r="347" spans="1:7">
      <c r="A347" s="14" t="str">
        <f ca="1">Start.listina!U77</f>
        <v/>
      </c>
      <c r="B347" s="227" t="str">
        <f ca="1">Start.listina!V77</f>
        <v xml:space="preserve"> </v>
      </c>
      <c r="C347" s="14" t="str">
        <f ca="1">Start.listina!W77</f>
        <v xml:space="preserve"> </v>
      </c>
      <c r="D347" s="14" t="str">
        <f ca="1">Start.listina!X77</f>
        <v xml:space="preserve"> </v>
      </c>
      <c r="E347" s="14">
        <f ca="1">Start.listina!Y77</f>
        <v>9999</v>
      </c>
      <c r="F347" s="14">
        <f ca="1">Start.listina!Z77</f>
        <v>0</v>
      </c>
      <c r="G347" s="7"/>
    </row>
    <row r="348" spans="1:7">
      <c r="A348" s="14" t="str">
        <f ca="1">Start.listina!U78</f>
        <v/>
      </c>
      <c r="B348" s="227" t="str">
        <f ca="1">Start.listina!V78</f>
        <v xml:space="preserve"> </v>
      </c>
      <c r="C348" s="14" t="str">
        <f ca="1">Start.listina!W78</f>
        <v xml:space="preserve"> </v>
      </c>
      <c r="D348" s="14" t="str">
        <f ca="1">Start.listina!X78</f>
        <v xml:space="preserve"> </v>
      </c>
      <c r="E348" s="14">
        <f ca="1">Start.listina!Y78</f>
        <v>9999</v>
      </c>
      <c r="F348" s="14">
        <f ca="1">Start.listina!Z78</f>
        <v>0</v>
      </c>
      <c r="G348" s="7"/>
    </row>
    <row r="349" spans="1:7">
      <c r="A349" s="14" t="str">
        <f ca="1">Start.listina!U79</f>
        <v/>
      </c>
      <c r="B349" s="227" t="str">
        <f ca="1">Start.listina!V79</f>
        <v xml:space="preserve"> </v>
      </c>
      <c r="C349" s="14" t="str">
        <f ca="1">Start.listina!W79</f>
        <v xml:space="preserve"> </v>
      </c>
      <c r="D349" s="14" t="str">
        <f ca="1">Start.listina!X79</f>
        <v xml:space="preserve"> </v>
      </c>
      <c r="E349" s="14">
        <f ca="1">Start.listina!Y79</f>
        <v>9999</v>
      </c>
      <c r="F349" s="14">
        <f ca="1">Start.listina!Z79</f>
        <v>0</v>
      </c>
      <c r="G349" s="7"/>
    </row>
    <row r="350" spans="1:7">
      <c r="A350" s="14" t="str">
        <f ca="1">Start.listina!U80</f>
        <v/>
      </c>
      <c r="B350" s="227" t="str">
        <f ca="1">Start.listina!V80</f>
        <v xml:space="preserve"> </v>
      </c>
      <c r="C350" s="14" t="str">
        <f ca="1">Start.listina!W80</f>
        <v xml:space="preserve"> </v>
      </c>
      <c r="D350" s="14" t="str">
        <f ca="1">Start.listina!X80</f>
        <v xml:space="preserve"> </v>
      </c>
      <c r="E350" s="14">
        <f ca="1">Start.listina!Y80</f>
        <v>9999</v>
      </c>
      <c r="F350" s="14">
        <f ca="1">Start.listina!Z80</f>
        <v>0</v>
      </c>
      <c r="G350" s="7"/>
    </row>
    <row r="351" spans="1:7">
      <c r="A351" s="14" t="str">
        <f ca="1">Start.listina!U81</f>
        <v/>
      </c>
      <c r="B351" s="227" t="str">
        <f ca="1">Start.listina!V81</f>
        <v xml:space="preserve"> </v>
      </c>
      <c r="C351" s="14" t="str">
        <f ca="1">Start.listina!W81</f>
        <v xml:space="preserve"> </v>
      </c>
      <c r="D351" s="14" t="str">
        <f ca="1">Start.listina!X81</f>
        <v xml:space="preserve"> </v>
      </c>
      <c r="E351" s="14">
        <f ca="1">Start.listina!Y81</f>
        <v>9999</v>
      </c>
      <c r="F351" s="14">
        <f ca="1">Start.listina!Z81</f>
        <v>0</v>
      </c>
      <c r="G351" s="7"/>
    </row>
    <row r="352" spans="1:7">
      <c r="A352" s="14" t="str">
        <f ca="1">Start.listina!U82</f>
        <v/>
      </c>
      <c r="B352" s="227" t="str">
        <f ca="1">Start.listina!V82</f>
        <v xml:space="preserve"> </v>
      </c>
      <c r="C352" s="14" t="str">
        <f ca="1">Start.listina!W82</f>
        <v xml:space="preserve"> </v>
      </c>
      <c r="D352" s="14" t="str">
        <f ca="1">Start.listina!X82</f>
        <v xml:space="preserve"> </v>
      </c>
      <c r="E352" s="14">
        <f ca="1">Start.listina!Y82</f>
        <v>9999</v>
      </c>
      <c r="F352" s="14">
        <f ca="1">Start.listina!Z82</f>
        <v>0</v>
      </c>
      <c r="G352" s="7"/>
    </row>
    <row r="353" spans="1:7">
      <c r="A353" s="14" t="str">
        <f ca="1">Start.listina!U83</f>
        <v/>
      </c>
      <c r="B353" s="227" t="str">
        <f ca="1">Start.listina!V83</f>
        <v xml:space="preserve"> </v>
      </c>
      <c r="C353" s="14" t="str">
        <f ca="1">Start.listina!W83</f>
        <v xml:space="preserve"> </v>
      </c>
      <c r="D353" s="14" t="str">
        <f ca="1">Start.listina!X83</f>
        <v xml:space="preserve"> </v>
      </c>
      <c r="E353" s="14">
        <f ca="1">Start.listina!Y83</f>
        <v>9999</v>
      </c>
      <c r="F353" s="14">
        <f ca="1">Start.listina!Z83</f>
        <v>0</v>
      </c>
      <c r="G353" s="7"/>
    </row>
    <row r="354" spans="1:7">
      <c r="A354" s="14" t="str">
        <f ca="1">Start.listina!U84</f>
        <v/>
      </c>
      <c r="B354" s="227" t="str">
        <f ca="1">Start.listina!V84</f>
        <v xml:space="preserve"> </v>
      </c>
      <c r="C354" s="14" t="str">
        <f ca="1">Start.listina!W84</f>
        <v xml:space="preserve"> </v>
      </c>
      <c r="D354" s="14" t="str">
        <f ca="1">Start.listina!X84</f>
        <v xml:space="preserve"> </v>
      </c>
      <c r="E354" s="14">
        <f ca="1">Start.listina!Y84</f>
        <v>9999</v>
      </c>
      <c r="F354" s="14">
        <f ca="1">Start.listina!Z84</f>
        <v>0</v>
      </c>
      <c r="G354" s="7"/>
    </row>
    <row r="355" spans="1:7">
      <c r="A355" s="14" t="str">
        <f ca="1">Start.listina!U85</f>
        <v/>
      </c>
      <c r="B355" s="227" t="str">
        <f ca="1">Start.listina!V85</f>
        <v xml:space="preserve"> </v>
      </c>
      <c r="C355" s="14" t="str">
        <f ca="1">Start.listina!W85</f>
        <v xml:space="preserve"> </v>
      </c>
      <c r="D355" s="14" t="str">
        <f ca="1">Start.listina!X85</f>
        <v xml:space="preserve"> </v>
      </c>
      <c r="E355" s="14">
        <f ca="1">Start.listina!Y85</f>
        <v>9999</v>
      </c>
      <c r="F355" s="14">
        <f ca="1">Start.listina!Z85</f>
        <v>0</v>
      </c>
      <c r="G355" s="7"/>
    </row>
    <row r="356" spans="1:7">
      <c r="A356" s="14" t="str">
        <f ca="1">Start.listina!U86</f>
        <v/>
      </c>
      <c r="B356" s="227" t="str">
        <f ca="1">Start.listina!V86</f>
        <v xml:space="preserve"> </v>
      </c>
      <c r="C356" s="14" t="str">
        <f ca="1">Start.listina!W86</f>
        <v xml:space="preserve"> </v>
      </c>
      <c r="D356" s="14" t="str">
        <f ca="1">Start.listina!X86</f>
        <v xml:space="preserve"> </v>
      </c>
      <c r="E356" s="14">
        <f ca="1">Start.listina!Y86</f>
        <v>9999</v>
      </c>
      <c r="F356" s="14">
        <f ca="1">Start.listina!Z86</f>
        <v>0</v>
      </c>
      <c r="G356" s="7"/>
    </row>
    <row r="357" spans="1:7">
      <c r="A357" s="14" t="str">
        <f ca="1">Start.listina!U87</f>
        <v/>
      </c>
      <c r="B357" s="227" t="str">
        <f ca="1">Start.listina!V87</f>
        <v xml:space="preserve"> </v>
      </c>
      <c r="C357" s="14" t="str">
        <f ca="1">Start.listina!W87</f>
        <v xml:space="preserve"> </v>
      </c>
      <c r="D357" s="14" t="str">
        <f ca="1">Start.listina!X87</f>
        <v xml:space="preserve"> </v>
      </c>
      <c r="E357" s="14">
        <f ca="1">Start.listina!Y87</f>
        <v>9999</v>
      </c>
      <c r="F357" s="14">
        <f ca="1">Start.listina!Z87</f>
        <v>0</v>
      </c>
      <c r="G357" s="7"/>
    </row>
    <row r="358" spans="1:7">
      <c r="A358" s="14" t="str">
        <f ca="1">Start.listina!U88</f>
        <v/>
      </c>
      <c r="B358" s="227" t="str">
        <f ca="1">Start.listina!V88</f>
        <v xml:space="preserve"> </v>
      </c>
      <c r="C358" s="14" t="str">
        <f ca="1">Start.listina!W88</f>
        <v xml:space="preserve"> </v>
      </c>
      <c r="D358" s="14" t="str">
        <f ca="1">Start.listina!X88</f>
        <v xml:space="preserve"> </v>
      </c>
      <c r="E358" s="14">
        <f ca="1">Start.listina!Y88</f>
        <v>9999</v>
      </c>
      <c r="F358" s="14">
        <f ca="1">Start.listina!Z88</f>
        <v>0</v>
      </c>
      <c r="G358" s="7"/>
    </row>
    <row r="359" spans="1:7">
      <c r="A359" s="14" t="str">
        <f ca="1">Start.listina!U89</f>
        <v/>
      </c>
      <c r="B359" s="227" t="str">
        <f ca="1">Start.listina!V89</f>
        <v xml:space="preserve"> </v>
      </c>
      <c r="C359" s="14" t="str">
        <f ca="1">Start.listina!W89</f>
        <v xml:space="preserve"> </v>
      </c>
      <c r="D359" s="14" t="str">
        <f ca="1">Start.listina!X89</f>
        <v xml:space="preserve"> </v>
      </c>
      <c r="E359" s="14">
        <f ca="1">Start.listina!Y89</f>
        <v>9999</v>
      </c>
      <c r="F359" s="14">
        <f ca="1">Start.listina!Z89</f>
        <v>0</v>
      </c>
      <c r="G359" s="7"/>
    </row>
    <row r="360" spans="1:7">
      <c r="A360" s="14" t="str">
        <f ca="1">Start.listina!U90</f>
        <v/>
      </c>
      <c r="B360" s="227" t="str">
        <f ca="1">Start.listina!V90</f>
        <v xml:space="preserve"> </v>
      </c>
      <c r="C360" s="14" t="str">
        <f ca="1">Start.listina!W90</f>
        <v xml:space="preserve"> </v>
      </c>
      <c r="D360" s="14" t="str">
        <f ca="1">Start.listina!X90</f>
        <v xml:space="preserve"> </v>
      </c>
      <c r="E360" s="14">
        <f ca="1">Start.listina!Y90</f>
        <v>9999</v>
      </c>
      <c r="F360" s="14">
        <f ca="1">Start.listina!Z90</f>
        <v>0</v>
      </c>
      <c r="G360" s="7"/>
    </row>
    <row r="361" spans="1:7">
      <c r="A361" s="14" t="str">
        <f ca="1">Start.listina!U91</f>
        <v/>
      </c>
      <c r="B361" s="227" t="str">
        <f ca="1">Start.listina!V91</f>
        <v xml:space="preserve"> </v>
      </c>
      <c r="C361" s="14" t="str">
        <f ca="1">Start.listina!W91</f>
        <v xml:space="preserve"> </v>
      </c>
      <c r="D361" s="14" t="str">
        <f ca="1">Start.listina!X91</f>
        <v xml:space="preserve"> </v>
      </c>
      <c r="E361" s="14">
        <f ca="1">Start.listina!Y91</f>
        <v>9999</v>
      </c>
      <c r="F361" s="14">
        <f ca="1">Start.listina!Z91</f>
        <v>0</v>
      </c>
      <c r="G361" s="7"/>
    </row>
    <row r="362" spans="1:7">
      <c r="A362" s="14" t="str">
        <f ca="1">Start.listina!U92</f>
        <v/>
      </c>
      <c r="B362" s="227" t="str">
        <f ca="1">Start.listina!V92</f>
        <v xml:space="preserve"> </v>
      </c>
      <c r="C362" s="14" t="str">
        <f ca="1">Start.listina!W92</f>
        <v xml:space="preserve"> </v>
      </c>
      <c r="D362" s="14" t="str">
        <f ca="1">Start.listina!X92</f>
        <v xml:space="preserve"> </v>
      </c>
      <c r="E362" s="14">
        <f ca="1">Start.listina!Y92</f>
        <v>9999</v>
      </c>
      <c r="F362" s="14">
        <f ca="1">Start.listina!Z92</f>
        <v>0</v>
      </c>
      <c r="G362" s="7"/>
    </row>
    <row r="363" spans="1:7">
      <c r="A363" s="14" t="str">
        <f ca="1">Start.listina!U93</f>
        <v/>
      </c>
      <c r="B363" s="227" t="str">
        <f ca="1">Start.listina!V93</f>
        <v xml:space="preserve"> </v>
      </c>
      <c r="C363" s="14" t="str">
        <f ca="1">Start.listina!W93</f>
        <v xml:space="preserve"> </v>
      </c>
      <c r="D363" s="14" t="str">
        <f ca="1">Start.listina!X93</f>
        <v xml:space="preserve"> </v>
      </c>
      <c r="E363" s="14">
        <f ca="1">Start.listina!Y93</f>
        <v>9999</v>
      </c>
      <c r="F363" s="14">
        <f ca="1">Start.listina!Z93</f>
        <v>0</v>
      </c>
      <c r="G363" s="7"/>
    </row>
    <row r="364" spans="1:7">
      <c r="A364" s="14" t="str">
        <f ca="1">Start.listina!U94</f>
        <v/>
      </c>
      <c r="B364" s="227" t="str">
        <f ca="1">Start.listina!V94</f>
        <v xml:space="preserve"> </v>
      </c>
      <c r="C364" s="14" t="str">
        <f ca="1">Start.listina!W94</f>
        <v xml:space="preserve"> </v>
      </c>
      <c r="D364" s="14" t="str">
        <f ca="1">Start.listina!X94</f>
        <v xml:space="preserve"> </v>
      </c>
      <c r="E364" s="14">
        <f ca="1">Start.listina!Y94</f>
        <v>9999</v>
      </c>
      <c r="F364" s="14">
        <f ca="1">Start.listina!Z94</f>
        <v>0</v>
      </c>
      <c r="G364" s="7"/>
    </row>
    <row r="365" spans="1:7">
      <c r="A365" s="14" t="str">
        <f ca="1">Start.listina!U95</f>
        <v/>
      </c>
      <c r="B365" s="227" t="str">
        <f ca="1">Start.listina!V95</f>
        <v xml:space="preserve"> </v>
      </c>
      <c r="C365" s="14" t="str">
        <f ca="1">Start.listina!W95</f>
        <v xml:space="preserve"> </v>
      </c>
      <c r="D365" s="14" t="str">
        <f ca="1">Start.listina!X95</f>
        <v xml:space="preserve"> </v>
      </c>
      <c r="E365" s="14">
        <f ca="1">Start.listina!Y95</f>
        <v>9999</v>
      </c>
      <c r="F365" s="14">
        <f ca="1">Start.listina!Z95</f>
        <v>0</v>
      </c>
      <c r="G365" s="7"/>
    </row>
    <row r="366" spans="1:7">
      <c r="A366" s="14" t="str">
        <f ca="1">Start.listina!U96</f>
        <v/>
      </c>
      <c r="B366" s="227" t="str">
        <f ca="1">Start.listina!V96</f>
        <v xml:space="preserve"> </v>
      </c>
      <c r="C366" s="14" t="str">
        <f ca="1">Start.listina!W96</f>
        <v xml:space="preserve"> </v>
      </c>
      <c r="D366" s="14" t="str">
        <f ca="1">Start.listina!X96</f>
        <v xml:space="preserve"> </v>
      </c>
      <c r="E366" s="14">
        <f ca="1">Start.listina!Y96</f>
        <v>9999</v>
      </c>
      <c r="F366" s="14">
        <f ca="1">Start.listina!Z96</f>
        <v>0</v>
      </c>
      <c r="G366" s="7"/>
    </row>
    <row r="367" spans="1:7">
      <c r="A367" s="14" t="str">
        <f ca="1">Start.listina!U97</f>
        <v/>
      </c>
      <c r="B367" s="227" t="str">
        <f ca="1">Start.listina!V97</f>
        <v xml:space="preserve"> </v>
      </c>
      <c r="C367" s="14" t="str">
        <f ca="1">Start.listina!W97</f>
        <v xml:space="preserve"> </v>
      </c>
      <c r="D367" s="14" t="str">
        <f ca="1">Start.listina!X97</f>
        <v xml:space="preserve"> </v>
      </c>
      <c r="E367" s="14">
        <f ca="1">Start.listina!Y97</f>
        <v>9999</v>
      </c>
      <c r="F367" s="14">
        <f ca="1">Start.listina!Z97</f>
        <v>0</v>
      </c>
      <c r="G367" s="7"/>
    </row>
    <row r="368" spans="1:7">
      <c r="A368" s="14" t="str">
        <f ca="1">Start.listina!U98</f>
        <v/>
      </c>
      <c r="B368" s="227" t="str">
        <f ca="1">Start.listina!V98</f>
        <v xml:space="preserve"> </v>
      </c>
      <c r="C368" s="14" t="str">
        <f ca="1">Start.listina!W98</f>
        <v xml:space="preserve"> </v>
      </c>
      <c r="D368" s="14" t="str">
        <f ca="1">Start.listina!X98</f>
        <v xml:space="preserve"> </v>
      </c>
      <c r="E368" s="14">
        <f ca="1">Start.listina!Y98</f>
        <v>9999</v>
      </c>
      <c r="F368" s="14">
        <f ca="1">Start.listina!Z98</f>
        <v>0</v>
      </c>
      <c r="G368" s="7"/>
    </row>
    <row r="369" spans="1:7">
      <c r="A369" s="14" t="str">
        <f ca="1">Start.listina!U99</f>
        <v/>
      </c>
      <c r="B369" s="227" t="str">
        <f ca="1">Start.listina!V99</f>
        <v xml:space="preserve"> </v>
      </c>
      <c r="C369" s="14" t="str">
        <f ca="1">Start.listina!W99</f>
        <v xml:space="preserve"> </v>
      </c>
      <c r="D369" s="14" t="str">
        <f ca="1">Start.listina!X99</f>
        <v xml:space="preserve"> </v>
      </c>
      <c r="E369" s="14">
        <f ca="1">Start.listina!Y99</f>
        <v>9999</v>
      </c>
      <c r="F369" s="14">
        <f ca="1">Start.listina!Z99</f>
        <v>0</v>
      </c>
      <c r="G369" s="7"/>
    </row>
    <row r="370" spans="1:7">
      <c r="A370" s="14" t="str">
        <f ca="1">Start.listina!U100</f>
        <v/>
      </c>
      <c r="B370" s="227" t="str">
        <f ca="1">Start.listina!V100</f>
        <v xml:space="preserve"> </v>
      </c>
      <c r="C370" s="14" t="str">
        <f ca="1">Start.listina!W100</f>
        <v xml:space="preserve"> </v>
      </c>
      <c r="D370" s="14" t="str">
        <f ca="1">Start.listina!X100</f>
        <v xml:space="preserve"> </v>
      </c>
      <c r="E370" s="14">
        <f ca="1">Start.listina!Y100</f>
        <v>9999</v>
      </c>
      <c r="F370" s="14">
        <f ca="1">Start.listina!Z100</f>
        <v>0</v>
      </c>
      <c r="G370" s="7"/>
    </row>
    <row r="371" spans="1:7">
      <c r="A371" s="14" t="str">
        <f ca="1">Start.listina!U101</f>
        <v/>
      </c>
      <c r="B371" s="227" t="str">
        <f ca="1">Start.listina!V101</f>
        <v xml:space="preserve"> </v>
      </c>
      <c r="C371" s="14" t="str">
        <f ca="1">Start.listina!W101</f>
        <v xml:space="preserve"> </v>
      </c>
      <c r="D371" s="14" t="str">
        <f ca="1">Start.listina!X101</f>
        <v xml:space="preserve"> </v>
      </c>
      <c r="E371" s="14">
        <f ca="1">Start.listina!Y101</f>
        <v>9999</v>
      </c>
      <c r="F371" s="14">
        <f ca="1">Start.listina!Z101</f>
        <v>0</v>
      </c>
      <c r="G371" s="7"/>
    </row>
    <row r="372" spans="1:7">
      <c r="A372" s="14" t="str">
        <f ca="1">Start.listina!U102</f>
        <v/>
      </c>
      <c r="B372" s="227" t="str">
        <f ca="1">Start.listina!V102</f>
        <v xml:space="preserve"> </v>
      </c>
      <c r="C372" s="14" t="str">
        <f ca="1">Start.listina!W102</f>
        <v xml:space="preserve"> </v>
      </c>
      <c r="D372" s="14" t="str">
        <f ca="1">Start.listina!X102</f>
        <v xml:space="preserve"> </v>
      </c>
      <c r="E372" s="14">
        <f ca="1">Start.listina!Y102</f>
        <v>9999</v>
      </c>
      <c r="F372" s="14">
        <f ca="1">Start.listina!Z102</f>
        <v>0</v>
      </c>
      <c r="G372" s="7"/>
    </row>
    <row r="373" spans="1:7">
      <c r="A373" s="14" t="str">
        <f ca="1">Start.listina!U103</f>
        <v/>
      </c>
      <c r="B373" s="227" t="str">
        <f ca="1">Start.listina!V103</f>
        <v xml:space="preserve"> </v>
      </c>
      <c r="C373" s="14" t="str">
        <f ca="1">Start.listina!W103</f>
        <v xml:space="preserve"> </v>
      </c>
      <c r="D373" s="14" t="str">
        <f ca="1">Start.listina!X103</f>
        <v xml:space="preserve"> </v>
      </c>
      <c r="E373" s="14">
        <f ca="1">Start.listina!Y103</f>
        <v>9999</v>
      </c>
      <c r="F373" s="14">
        <f ca="1">Start.listina!Z103</f>
        <v>0</v>
      </c>
      <c r="G373" s="7"/>
    </row>
    <row r="374" spans="1:7">
      <c r="A374" s="14" t="str">
        <f ca="1">Start.listina!U104</f>
        <v/>
      </c>
      <c r="B374" s="227" t="str">
        <f ca="1">Start.listina!V104</f>
        <v xml:space="preserve"> </v>
      </c>
      <c r="C374" s="14" t="str">
        <f ca="1">Start.listina!W104</f>
        <v xml:space="preserve"> </v>
      </c>
      <c r="D374" s="14" t="str">
        <f ca="1">Start.listina!X104</f>
        <v xml:space="preserve"> </v>
      </c>
      <c r="E374" s="14">
        <f ca="1">Start.listina!Y104</f>
        <v>9999</v>
      </c>
      <c r="F374" s="14">
        <f ca="1">Start.listina!Z104</f>
        <v>0</v>
      </c>
      <c r="G374" s="7"/>
    </row>
    <row r="375" spans="1:7">
      <c r="A375" s="14" t="str">
        <f ca="1">Start.listina!U105</f>
        <v/>
      </c>
      <c r="B375" s="227" t="str">
        <f ca="1">Start.listina!V105</f>
        <v xml:space="preserve"> </v>
      </c>
      <c r="C375" s="14" t="str">
        <f ca="1">Start.listina!W105</f>
        <v xml:space="preserve"> </v>
      </c>
      <c r="D375" s="14" t="str">
        <f ca="1">Start.listina!X105</f>
        <v xml:space="preserve"> </v>
      </c>
      <c r="E375" s="14">
        <f ca="1">Start.listina!Y105</f>
        <v>9999</v>
      </c>
      <c r="F375" s="14">
        <f ca="1">Start.listina!Z105</f>
        <v>0</v>
      </c>
      <c r="G375" s="7"/>
    </row>
    <row r="376" spans="1:7">
      <c r="A376" s="14" t="str">
        <f ca="1">Start.listina!U106</f>
        <v/>
      </c>
      <c r="B376" s="227" t="str">
        <f ca="1">Start.listina!V106</f>
        <v xml:space="preserve"> </v>
      </c>
      <c r="C376" s="14" t="str">
        <f ca="1">Start.listina!W106</f>
        <v xml:space="preserve"> </v>
      </c>
      <c r="D376" s="14" t="str">
        <f ca="1">Start.listina!X106</f>
        <v xml:space="preserve"> </v>
      </c>
      <c r="E376" s="14">
        <f ca="1">Start.listina!Y106</f>
        <v>9999</v>
      </c>
      <c r="F376" s="14">
        <f ca="1">Start.listina!Z106</f>
        <v>0</v>
      </c>
      <c r="G376" s="7"/>
    </row>
    <row r="377" spans="1:7">
      <c r="A377" s="14" t="str">
        <f ca="1">Start.listina!U107</f>
        <v/>
      </c>
      <c r="B377" s="227" t="str">
        <f ca="1">Start.listina!V107</f>
        <v xml:space="preserve"> </v>
      </c>
      <c r="C377" s="14" t="str">
        <f ca="1">Start.listina!W107</f>
        <v xml:space="preserve"> </v>
      </c>
      <c r="D377" s="14" t="str">
        <f ca="1">Start.listina!X107</f>
        <v xml:space="preserve"> </v>
      </c>
      <c r="E377" s="14">
        <f ca="1">Start.listina!Y107</f>
        <v>9999</v>
      </c>
      <c r="F377" s="14">
        <f ca="1">Start.listina!Z107</f>
        <v>0</v>
      </c>
      <c r="G377" s="7"/>
    </row>
    <row r="378" spans="1:7">
      <c r="A378" s="14" t="str">
        <f ca="1">Start.listina!U108</f>
        <v/>
      </c>
      <c r="B378" s="227" t="str">
        <f ca="1">Start.listina!V108</f>
        <v xml:space="preserve"> </v>
      </c>
      <c r="C378" s="14" t="str">
        <f ca="1">Start.listina!W108</f>
        <v xml:space="preserve"> </v>
      </c>
      <c r="D378" s="14" t="str">
        <f ca="1">Start.listina!X108</f>
        <v xml:space="preserve"> </v>
      </c>
      <c r="E378" s="14">
        <f ca="1">Start.listina!Y108</f>
        <v>9999</v>
      </c>
      <c r="F378" s="14">
        <f ca="1">Start.listina!Z108</f>
        <v>0</v>
      </c>
      <c r="G378" s="7"/>
    </row>
    <row r="379" spans="1:7">
      <c r="A379" s="14" t="str">
        <f ca="1">Start.listina!U109</f>
        <v/>
      </c>
      <c r="B379" s="227" t="str">
        <f ca="1">Start.listina!V109</f>
        <v xml:space="preserve"> </v>
      </c>
      <c r="C379" s="14" t="str">
        <f ca="1">Start.listina!W109</f>
        <v xml:space="preserve"> </v>
      </c>
      <c r="D379" s="14" t="str">
        <f ca="1">Start.listina!X109</f>
        <v xml:space="preserve"> </v>
      </c>
      <c r="E379" s="14">
        <f ca="1">Start.listina!Y109</f>
        <v>9999</v>
      </c>
      <c r="F379" s="14">
        <f ca="1">Start.listina!Z109</f>
        <v>0</v>
      </c>
      <c r="G379" s="7"/>
    </row>
    <row r="380" spans="1:7">
      <c r="A380" s="14" t="str">
        <f ca="1">Start.listina!U110</f>
        <v/>
      </c>
      <c r="B380" s="227" t="str">
        <f ca="1">Start.listina!V110</f>
        <v xml:space="preserve"> </v>
      </c>
      <c r="C380" s="14" t="str">
        <f ca="1">Start.listina!W110</f>
        <v xml:space="preserve"> </v>
      </c>
      <c r="D380" s="14" t="str">
        <f ca="1">Start.listina!X110</f>
        <v xml:space="preserve"> </v>
      </c>
      <c r="E380" s="14">
        <f ca="1">Start.listina!Y110</f>
        <v>9999</v>
      </c>
      <c r="F380" s="14">
        <f ca="1">Start.listina!Z110</f>
        <v>0</v>
      </c>
      <c r="G380" s="7"/>
    </row>
    <row r="381" spans="1:7">
      <c r="A381" s="14" t="str">
        <f ca="1">Start.listina!U111</f>
        <v/>
      </c>
      <c r="B381" s="227" t="str">
        <f ca="1">Start.listina!V111</f>
        <v xml:space="preserve"> </v>
      </c>
      <c r="C381" s="14" t="str">
        <f ca="1">Start.listina!W111</f>
        <v xml:space="preserve"> </v>
      </c>
      <c r="D381" s="14" t="str">
        <f ca="1">Start.listina!X111</f>
        <v xml:space="preserve"> </v>
      </c>
      <c r="E381" s="14">
        <f ca="1">Start.listina!Y111</f>
        <v>9999</v>
      </c>
      <c r="F381" s="14">
        <f ca="1">Start.listina!Z111</f>
        <v>0</v>
      </c>
      <c r="G381" s="7"/>
    </row>
    <row r="382" spans="1:7">
      <c r="A382" s="14" t="str">
        <f ca="1">Start.listina!U112</f>
        <v/>
      </c>
      <c r="B382" s="227" t="str">
        <f ca="1">Start.listina!V112</f>
        <v xml:space="preserve"> </v>
      </c>
      <c r="C382" s="14" t="str">
        <f ca="1">Start.listina!W112</f>
        <v xml:space="preserve"> </v>
      </c>
      <c r="D382" s="14" t="str">
        <f ca="1">Start.listina!X112</f>
        <v xml:space="preserve"> </v>
      </c>
      <c r="E382" s="14">
        <f ca="1">Start.listina!Y112</f>
        <v>9999</v>
      </c>
      <c r="F382" s="14">
        <f ca="1">Start.listina!Z112</f>
        <v>0</v>
      </c>
      <c r="G382" s="7"/>
    </row>
    <row r="383" spans="1:7">
      <c r="A383" s="14" t="str">
        <f ca="1">Start.listina!U113</f>
        <v/>
      </c>
      <c r="B383" s="227" t="str">
        <f ca="1">Start.listina!V113</f>
        <v xml:space="preserve"> </v>
      </c>
      <c r="C383" s="14" t="str">
        <f ca="1">Start.listina!W113</f>
        <v xml:space="preserve"> </v>
      </c>
      <c r="D383" s="14" t="str">
        <f ca="1">Start.listina!X113</f>
        <v xml:space="preserve"> </v>
      </c>
      <c r="E383" s="14">
        <f ca="1">Start.listina!Y113</f>
        <v>9999</v>
      </c>
      <c r="F383" s="14">
        <f ca="1">Start.listina!Z113</f>
        <v>0</v>
      </c>
      <c r="G383" s="7"/>
    </row>
    <row r="384" spans="1:7">
      <c r="A384" s="14" t="str">
        <f ca="1">Start.listina!U114</f>
        <v/>
      </c>
      <c r="B384" s="227" t="str">
        <f ca="1">Start.listina!V114</f>
        <v xml:space="preserve"> </v>
      </c>
      <c r="C384" s="14" t="str">
        <f ca="1">Start.listina!W114</f>
        <v xml:space="preserve"> </v>
      </c>
      <c r="D384" s="14" t="str">
        <f ca="1">Start.listina!X114</f>
        <v xml:space="preserve"> </v>
      </c>
      <c r="E384" s="14">
        <f ca="1">Start.listina!Y114</f>
        <v>9999</v>
      </c>
      <c r="F384" s="14">
        <f ca="1">Start.listina!Z114</f>
        <v>0</v>
      </c>
      <c r="G384" s="7"/>
    </row>
    <row r="385" spans="1:7">
      <c r="A385" s="14" t="str">
        <f ca="1">Start.listina!U115</f>
        <v/>
      </c>
      <c r="B385" s="227" t="str">
        <f ca="1">Start.listina!V115</f>
        <v xml:space="preserve"> </v>
      </c>
      <c r="C385" s="14" t="str">
        <f ca="1">Start.listina!W115</f>
        <v xml:space="preserve"> </v>
      </c>
      <c r="D385" s="14" t="str">
        <f ca="1">Start.listina!X115</f>
        <v xml:space="preserve"> </v>
      </c>
      <c r="E385" s="14">
        <f ca="1">Start.listina!Y115</f>
        <v>9999</v>
      </c>
      <c r="F385" s="14">
        <f ca="1">Start.listina!Z115</f>
        <v>0</v>
      </c>
      <c r="G385" s="7"/>
    </row>
    <row r="386" spans="1:7">
      <c r="A386" s="14" t="str">
        <f ca="1">Start.listina!U116</f>
        <v/>
      </c>
      <c r="B386" s="227" t="str">
        <f ca="1">Start.listina!V116</f>
        <v xml:space="preserve"> </v>
      </c>
      <c r="C386" s="14" t="str">
        <f ca="1">Start.listina!W116</f>
        <v xml:space="preserve"> </v>
      </c>
      <c r="D386" s="14" t="str">
        <f ca="1">Start.listina!X116</f>
        <v xml:space="preserve"> </v>
      </c>
      <c r="E386" s="14">
        <f ca="1">Start.listina!Y116</f>
        <v>9999</v>
      </c>
      <c r="F386" s="14">
        <f ca="1">Start.listina!Z116</f>
        <v>0</v>
      </c>
      <c r="G386" s="7"/>
    </row>
    <row r="387" spans="1:7">
      <c r="A387" s="14" t="str">
        <f ca="1">Start.listina!U117</f>
        <v/>
      </c>
      <c r="B387" s="227" t="str">
        <f ca="1">Start.listina!V117</f>
        <v xml:space="preserve"> </v>
      </c>
      <c r="C387" s="14" t="str">
        <f ca="1">Start.listina!W117</f>
        <v xml:space="preserve"> </v>
      </c>
      <c r="D387" s="14" t="str">
        <f ca="1">Start.listina!X117</f>
        <v xml:space="preserve"> </v>
      </c>
      <c r="E387" s="14">
        <f ca="1">Start.listina!Y117</f>
        <v>9999</v>
      </c>
      <c r="F387" s="14">
        <f ca="1">Start.listina!Z117</f>
        <v>0</v>
      </c>
      <c r="G387" s="7"/>
    </row>
    <row r="388" spans="1:7">
      <c r="A388" s="14" t="str">
        <f ca="1">Start.listina!U118</f>
        <v/>
      </c>
      <c r="B388" s="227" t="str">
        <f ca="1">Start.listina!V118</f>
        <v xml:space="preserve"> </v>
      </c>
      <c r="C388" s="14" t="str">
        <f ca="1">Start.listina!W118</f>
        <v xml:space="preserve"> </v>
      </c>
      <c r="D388" s="14" t="str">
        <f ca="1">Start.listina!X118</f>
        <v xml:space="preserve"> </v>
      </c>
      <c r="E388" s="14">
        <f ca="1">Start.listina!Y118</f>
        <v>9999</v>
      </c>
      <c r="F388" s="14">
        <f ca="1">Start.listina!Z118</f>
        <v>0</v>
      </c>
      <c r="G388" s="7"/>
    </row>
    <row r="389" spans="1:7">
      <c r="A389" s="14" t="str">
        <f ca="1">Start.listina!U119</f>
        <v/>
      </c>
      <c r="B389" s="227" t="str">
        <f ca="1">Start.listina!V119</f>
        <v xml:space="preserve"> </v>
      </c>
      <c r="C389" s="14" t="str">
        <f ca="1">Start.listina!W119</f>
        <v xml:space="preserve"> </v>
      </c>
      <c r="D389" s="14" t="str">
        <f ca="1">Start.listina!X119</f>
        <v xml:space="preserve"> </v>
      </c>
      <c r="E389" s="14">
        <f ca="1">Start.listina!Y119</f>
        <v>9999</v>
      </c>
      <c r="F389" s="14">
        <f ca="1">Start.listina!Z119</f>
        <v>0</v>
      </c>
    </row>
    <row r="390" spans="1:7">
      <c r="A390" s="14" t="str">
        <f ca="1">Start.listina!U120</f>
        <v/>
      </c>
      <c r="B390" s="227" t="str">
        <f ca="1">Start.listina!V120</f>
        <v xml:space="preserve"> </v>
      </c>
      <c r="C390" s="14" t="str">
        <f ca="1">Start.listina!W120</f>
        <v xml:space="preserve"> </v>
      </c>
      <c r="D390" s="14" t="str">
        <f ca="1">Start.listina!X120</f>
        <v xml:space="preserve"> </v>
      </c>
      <c r="E390" s="14">
        <f ca="1">Start.listina!Y120</f>
        <v>9999</v>
      </c>
      <c r="F390" s="14">
        <f ca="1">Start.listina!Z120</f>
        <v>0</v>
      </c>
    </row>
    <row r="391" spans="1:7">
      <c r="A391" s="14" t="str">
        <f ca="1">Start.listina!U121</f>
        <v/>
      </c>
      <c r="B391" s="227" t="str">
        <f ca="1">Start.listina!V121</f>
        <v xml:space="preserve"> </v>
      </c>
      <c r="C391" s="14" t="str">
        <f ca="1">Start.listina!W121</f>
        <v xml:space="preserve"> </v>
      </c>
      <c r="D391" s="14" t="str">
        <f ca="1">Start.listina!X121</f>
        <v xml:space="preserve"> </v>
      </c>
      <c r="E391" s="14">
        <f ca="1">Start.listina!Y121</f>
        <v>9999</v>
      </c>
      <c r="F391" s="14">
        <f ca="1">Start.listina!Z121</f>
        <v>0</v>
      </c>
    </row>
    <row r="392" spans="1:7">
      <c r="A392" s="14" t="str">
        <f ca="1">Start.listina!U122</f>
        <v/>
      </c>
      <c r="B392" s="227" t="str">
        <f ca="1">Start.listina!V122</f>
        <v xml:space="preserve"> </v>
      </c>
      <c r="C392" s="14" t="str">
        <f ca="1">Start.listina!W122</f>
        <v xml:space="preserve"> </v>
      </c>
      <c r="D392" s="14" t="str">
        <f ca="1">Start.listina!X122</f>
        <v xml:space="preserve"> </v>
      </c>
      <c r="E392" s="14">
        <f ca="1">Start.listina!Y122</f>
        <v>9999</v>
      </c>
      <c r="F392" s="14">
        <f ca="1">Start.listina!Z122</f>
        <v>0</v>
      </c>
    </row>
    <row r="393" spans="1:7">
      <c r="A393" s="14" t="str">
        <f ca="1">Start.listina!U123</f>
        <v/>
      </c>
      <c r="B393" s="227" t="str">
        <f ca="1">Start.listina!V123</f>
        <v xml:space="preserve"> </v>
      </c>
      <c r="C393" s="14" t="str">
        <f ca="1">Start.listina!W123</f>
        <v xml:space="preserve"> </v>
      </c>
      <c r="D393" s="14" t="str">
        <f ca="1">Start.listina!X123</f>
        <v xml:space="preserve"> </v>
      </c>
      <c r="E393" s="14">
        <f ca="1">Start.listina!Y123</f>
        <v>9999</v>
      </c>
      <c r="F393" s="14">
        <f ca="1">Start.listina!Z123</f>
        <v>0</v>
      </c>
    </row>
    <row r="394" spans="1:7">
      <c r="A394" s="14" t="str">
        <f ca="1">Start.listina!U124</f>
        <v/>
      </c>
      <c r="B394" s="227" t="str">
        <f ca="1">Start.listina!V124</f>
        <v xml:space="preserve"> </v>
      </c>
      <c r="C394" s="14" t="str">
        <f ca="1">Start.listina!W124</f>
        <v xml:space="preserve"> </v>
      </c>
      <c r="D394" s="14" t="str">
        <f ca="1">Start.listina!X124</f>
        <v xml:space="preserve"> </v>
      </c>
      <c r="E394" s="14">
        <f ca="1">Start.listina!Y124</f>
        <v>9999</v>
      </c>
      <c r="F394" s="14">
        <f ca="1">Start.listina!Z124</f>
        <v>0</v>
      </c>
    </row>
    <row r="395" spans="1:7">
      <c r="A395" s="14" t="str">
        <f ca="1">Start.listina!U125</f>
        <v/>
      </c>
      <c r="B395" s="227" t="str">
        <f ca="1">Start.listina!V125</f>
        <v xml:space="preserve"> </v>
      </c>
      <c r="C395" s="14" t="str">
        <f ca="1">Start.listina!W125</f>
        <v xml:space="preserve"> </v>
      </c>
      <c r="D395" s="14" t="str">
        <f ca="1">Start.listina!X125</f>
        <v xml:space="preserve"> </v>
      </c>
      <c r="E395" s="14">
        <f ca="1">Start.listina!Y125</f>
        <v>9999</v>
      </c>
      <c r="F395" s="14">
        <f ca="1">Start.listina!Z125</f>
        <v>0</v>
      </c>
    </row>
    <row r="396" spans="1:7">
      <c r="A396" s="14" t="str">
        <f ca="1">Start.listina!U126</f>
        <v/>
      </c>
      <c r="B396" s="227" t="str">
        <f ca="1">Start.listina!V126</f>
        <v xml:space="preserve"> </v>
      </c>
      <c r="C396" s="14" t="str">
        <f ca="1">Start.listina!W126</f>
        <v xml:space="preserve"> </v>
      </c>
      <c r="D396" s="14" t="str">
        <f ca="1">Start.listina!X126</f>
        <v xml:space="preserve"> </v>
      </c>
      <c r="E396" s="14">
        <f ca="1">Start.listina!Y126</f>
        <v>9999</v>
      </c>
      <c r="F396" s="14">
        <f ca="1">Start.listina!Z126</f>
        <v>0</v>
      </c>
    </row>
    <row r="397" spans="1:7">
      <c r="A397" s="14" t="str">
        <f ca="1">Start.listina!U127</f>
        <v/>
      </c>
      <c r="B397" s="227" t="str">
        <f ca="1">Start.listina!V127</f>
        <v xml:space="preserve"> </v>
      </c>
      <c r="C397" s="14" t="str">
        <f ca="1">Start.listina!W127</f>
        <v xml:space="preserve"> </v>
      </c>
      <c r="D397" s="14" t="str">
        <f ca="1">Start.listina!X127</f>
        <v xml:space="preserve"> </v>
      </c>
      <c r="E397" s="14">
        <f ca="1">Start.listina!Y127</f>
        <v>9999</v>
      </c>
      <c r="F397" s="14">
        <f ca="1">Start.listina!Z127</f>
        <v>0</v>
      </c>
    </row>
    <row r="398" spans="1:7">
      <c r="A398" s="14" t="str">
        <f ca="1">Start.listina!U128</f>
        <v/>
      </c>
      <c r="B398" s="227" t="str">
        <f ca="1">Start.listina!V128</f>
        <v xml:space="preserve"> </v>
      </c>
      <c r="C398" s="14" t="str">
        <f ca="1">Start.listina!W128</f>
        <v xml:space="preserve"> </v>
      </c>
      <c r="D398" s="14" t="str">
        <f ca="1">Start.listina!X128</f>
        <v xml:space="preserve"> </v>
      </c>
      <c r="E398" s="14">
        <f ca="1">Start.listina!Y128</f>
        <v>9999</v>
      </c>
      <c r="F398" s="14">
        <f ca="1">Start.listina!Z128</f>
        <v>0</v>
      </c>
    </row>
    <row r="399" spans="1:7">
      <c r="A399" s="14" t="str">
        <f ca="1">Start.listina!U129</f>
        <v/>
      </c>
      <c r="B399" s="227" t="str">
        <f ca="1">Start.listina!V129</f>
        <v xml:space="preserve"> </v>
      </c>
      <c r="C399" s="14" t="str">
        <f ca="1">Start.listina!W129</f>
        <v xml:space="preserve"> </v>
      </c>
      <c r="D399" s="14" t="str">
        <f ca="1">Start.listina!X129</f>
        <v xml:space="preserve"> </v>
      </c>
      <c r="E399" s="14">
        <f ca="1">Start.listina!Y129</f>
        <v>9999</v>
      </c>
      <c r="F399" s="14">
        <f ca="1">Start.listina!Z129</f>
        <v>0</v>
      </c>
    </row>
    <row r="400" spans="1:7">
      <c r="A400" s="14" t="str">
        <f ca="1">Start.listina!U130</f>
        <v/>
      </c>
      <c r="B400" s="227" t="str">
        <f ca="1">Start.listina!V130</f>
        <v xml:space="preserve"> </v>
      </c>
      <c r="C400" s="14" t="str">
        <f ca="1">Start.listina!W130</f>
        <v xml:space="preserve"> </v>
      </c>
      <c r="D400" s="14" t="str">
        <f ca="1">Start.listina!X130</f>
        <v xml:space="preserve"> </v>
      </c>
      <c r="E400" s="14">
        <f ca="1">Start.listina!Y130</f>
        <v>9999</v>
      </c>
      <c r="F400" s="14">
        <f ca="1">Start.listina!Z130</f>
        <v>0</v>
      </c>
    </row>
    <row r="401" spans="1:6">
      <c r="A401" s="14" t="str">
        <f ca="1">Start.listina!U131</f>
        <v/>
      </c>
      <c r="B401" s="227" t="str">
        <f ca="1">Start.listina!V131</f>
        <v xml:space="preserve"> </v>
      </c>
      <c r="C401" s="14" t="str">
        <f ca="1">Start.listina!W131</f>
        <v xml:space="preserve"> </v>
      </c>
      <c r="D401" s="14" t="str">
        <f ca="1">Start.listina!X131</f>
        <v xml:space="preserve"> </v>
      </c>
      <c r="E401" s="14">
        <f ca="1">Start.listina!Y131</f>
        <v>9999</v>
      </c>
      <c r="F401" s="14">
        <f ca="1">Start.listina!Z131</f>
        <v>0</v>
      </c>
    </row>
    <row r="402" spans="1:6">
      <c r="A402" s="14" t="str">
        <f ca="1">Start.listina!U132</f>
        <v/>
      </c>
      <c r="B402" s="227" t="str">
        <f ca="1">Start.listina!V132</f>
        <v xml:space="preserve"> </v>
      </c>
      <c r="C402" s="14" t="str">
        <f ca="1">Start.listina!W132</f>
        <v xml:space="preserve"> </v>
      </c>
      <c r="D402" s="14" t="str">
        <f ca="1">Start.listina!X132</f>
        <v xml:space="preserve"> </v>
      </c>
      <c r="E402" s="14">
        <f ca="1">Start.listina!Y132</f>
        <v>9999</v>
      </c>
      <c r="F402" s="14">
        <f ca="1">Start.listina!Z132</f>
        <v>0</v>
      </c>
    </row>
    <row r="403" spans="1:6">
      <c r="A403" s="14" t="str">
        <f ca="1">Start.listina!U133</f>
        <v/>
      </c>
      <c r="B403" s="227" t="str">
        <f ca="1">Start.listina!V133</f>
        <v xml:space="preserve"> </v>
      </c>
      <c r="C403" s="14" t="str">
        <f ca="1">Start.listina!W133</f>
        <v xml:space="preserve"> </v>
      </c>
      <c r="D403" s="14" t="str">
        <f ca="1">Start.listina!X133</f>
        <v xml:space="preserve"> </v>
      </c>
      <c r="E403" s="14">
        <f ca="1">Start.listina!Y133</f>
        <v>9999</v>
      </c>
      <c r="F403" s="14">
        <f ca="1">Start.listina!Z133</f>
        <v>0</v>
      </c>
    </row>
    <row r="404" spans="1:6">
      <c r="A404" s="14" t="str">
        <f ca="1">Start.listina!U134</f>
        <v/>
      </c>
      <c r="B404" s="227" t="str">
        <f ca="1">Start.listina!V134</f>
        <v xml:space="preserve"> </v>
      </c>
      <c r="C404" s="14" t="str">
        <f ca="1">Start.listina!W134</f>
        <v xml:space="preserve"> </v>
      </c>
      <c r="D404" s="14" t="str">
        <f ca="1">Start.listina!X134</f>
        <v xml:space="preserve"> </v>
      </c>
      <c r="E404" s="14">
        <f ca="1">Start.listina!Y134</f>
        <v>9999</v>
      </c>
      <c r="F404" s="14">
        <f ca="1">Start.listina!Z134</f>
        <v>0</v>
      </c>
    </row>
    <row r="405" spans="1:6">
      <c r="A405" s="14" t="str">
        <f ca="1">Start.listina!U135</f>
        <v/>
      </c>
      <c r="B405" s="227" t="str">
        <f ca="1">Start.listina!V135</f>
        <v xml:space="preserve"> </v>
      </c>
      <c r="C405" s="14" t="str">
        <f ca="1">Start.listina!W135</f>
        <v xml:space="preserve"> </v>
      </c>
      <c r="D405" s="14" t="str">
        <f ca="1">Start.listina!X135</f>
        <v xml:space="preserve"> </v>
      </c>
      <c r="E405" s="14">
        <f ca="1">Start.listina!Y135</f>
        <v>9999</v>
      </c>
      <c r="F405" s="14">
        <f ca="1">Start.listina!Z135</f>
        <v>0</v>
      </c>
    </row>
    <row r="406" spans="1:6">
      <c r="A406" s="14" t="str">
        <f ca="1">Start.listina!U136</f>
        <v/>
      </c>
      <c r="B406" s="227" t="str">
        <f ca="1">Start.listina!V136</f>
        <v xml:space="preserve"> </v>
      </c>
      <c r="C406" s="14" t="str">
        <f ca="1">Start.listina!W136</f>
        <v xml:space="preserve"> </v>
      </c>
      <c r="D406" s="14" t="str">
        <f ca="1">Start.listina!X136</f>
        <v xml:space="preserve"> </v>
      </c>
      <c r="E406" s="14">
        <f ca="1">Start.listina!Y136</f>
        <v>9999</v>
      </c>
      <c r="F406" s="14">
        <f ca="1">Start.listina!Z136</f>
        <v>0</v>
      </c>
    </row>
    <row r="407" spans="1:6">
      <c r="A407" s="14" t="str">
        <f ca="1">Start.listina!U137</f>
        <v/>
      </c>
      <c r="B407" s="227" t="str">
        <f ca="1">Start.listina!V137</f>
        <v xml:space="preserve"> </v>
      </c>
      <c r="C407" s="14" t="str">
        <f ca="1">Start.listina!W137</f>
        <v xml:space="preserve"> </v>
      </c>
      <c r="D407" s="14" t="str">
        <f ca="1">Start.listina!X137</f>
        <v xml:space="preserve"> </v>
      </c>
      <c r="E407" s="14">
        <f ca="1">Start.listina!Y137</f>
        <v>9999</v>
      </c>
      <c r="F407" s="14">
        <f ca="1">Start.listina!Z137</f>
        <v>0</v>
      </c>
    </row>
    <row r="408" spans="1:6">
      <c r="A408" s="14" t="str">
        <f ca="1">Start.listina!U138</f>
        <v/>
      </c>
      <c r="B408" s="227" t="str">
        <f ca="1">Start.listina!V138</f>
        <v xml:space="preserve"> </v>
      </c>
      <c r="C408" s="14" t="str">
        <f ca="1">Start.listina!W138</f>
        <v xml:space="preserve"> </v>
      </c>
      <c r="D408" s="14" t="str">
        <f ca="1">Start.listina!X138</f>
        <v xml:space="preserve"> </v>
      </c>
      <c r="E408" s="14">
        <f ca="1">Start.listina!Y138</f>
        <v>9999</v>
      </c>
      <c r="F408" s="14">
        <f ca="1">Start.listina!Z138</f>
        <v>0</v>
      </c>
    </row>
    <row r="409" spans="1:6">
      <c r="A409" s="14" t="str">
        <f ca="1">Start.listina!U139</f>
        <v/>
      </c>
      <c r="B409" s="227" t="str">
        <f ca="1">Start.listina!V139</f>
        <v xml:space="preserve"> </v>
      </c>
      <c r="C409" s="14" t="str">
        <f ca="1">Start.listina!W139</f>
        <v xml:space="preserve"> </v>
      </c>
      <c r="D409" s="14" t="str">
        <f ca="1">Start.listina!X139</f>
        <v xml:space="preserve"> </v>
      </c>
      <c r="E409" s="14">
        <f ca="1">Start.listina!Y139</f>
        <v>9999</v>
      </c>
      <c r="F409" s="14">
        <f ca="1">Start.listina!Z139</f>
        <v>0</v>
      </c>
    </row>
    <row r="410" spans="1:6">
      <c r="A410" s="14" t="str">
        <f ca="1">Start.listina!U140</f>
        <v/>
      </c>
      <c r="B410" s="227" t="str">
        <f ca="1">Start.listina!V140</f>
        <v xml:space="preserve"> </v>
      </c>
      <c r="C410" s="14" t="str">
        <f ca="1">Start.listina!W140</f>
        <v xml:space="preserve"> </v>
      </c>
      <c r="D410" s="14" t="str">
        <f ca="1">Start.listina!X140</f>
        <v xml:space="preserve"> </v>
      </c>
      <c r="E410" s="14">
        <f ca="1">Start.listina!Y140</f>
        <v>9999</v>
      </c>
      <c r="F410" s="14">
        <f ca="1">Start.listina!Z140</f>
        <v>0</v>
      </c>
    </row>
    <row r="411" spans="1:6">
      <c r="A411" s="14" t="str">
        <f ca="1">Start.listina!U141</f>
        <v/>
      </c>
      <c r="B411" s="227" t="str">
        <f ca="1">Start.listina!V141</f>
        <v xml:space="preserve"> </v>
      </c>
      <c r="C411" s="14" t="str">
        <f ca="1">Start.listina!W141</f>
        <v xml:space="preserve"> </v>
      </c>
      <c r="D411" s="14" t="str">
        <f ca="1">Start.listina!X141</f>
        <v xml:space="preserve"> </v>
      </c>
      <c r="E411" s="14">
        <f ca="1">Start.listina!Y141</f>
        <v>9999</v>
      </c>
      <c r="F411" s="14">
        <f ca="1">Start.listina!Z141</f>
        <v>0</v>
      </c>
    </row>
    <row r="412" spans="1:6">
      <c r="A412" s="14" t="str">
        <f ca="1">Start.listina!U142</f>
        <v/>
      </c>
      <c r="B412" s="227" t="str">
        <f ca="1">Start.listina!V142</f>
        <v xml:space="preserve"> </v>
      </c>
      <c r="C412" s="14" t="str">
        <f ca="1">Start.listina!W142</f>
        <v xml:space="preserve"> </v>
      </c>
      <c r="D412" s="14" t="str">
        <f ca="1">Start.listina!X142</f>
        <v xml:space="preserve"> </v>
      </c>
      <c r="E412" s="14">
        <f ca="1">Start.listina!Y142</f>
        <v>9999</v>
      </c>
      <c r="F412" s="14">
        <f ca="1">Start.listina!Z142</f>
        <v>0</v>
      </c>
    </row>
    <row r="413" spans="1:6">
      <c r="A413" s="14" t="str">
        <f ca="1">Start.listina!U143</f>
        <v/>
      </c>
      <c r="B413" s="227" t="str">
        <f ca="1">Start.listina!V143</f>
        <v xml:space="preserve"> </v>
      </c>
      <c r="C413" s="14" t="str">
        <f ca="1">Start.listina!W143</f>
        <v xml:space="preserve"> </v>
      </c>
      <c r="D413" s="14" t="str">
        <f ca="1">Start.listina!X143</f>
        <v xml:space="preserve"> </v>
      </c>
      <c r="E413" s="14">
        <f ca="1">Start.listina!Y143</f>
        <v>9999</v>
      </c>
      <c r="F413" s="14">
        <f ca="1">Start.listina!Z143</f>
        <v>0</v>
      </c>
    </row>
    <row r="414" spans="1:6">
      <c r="A414" s="14" t="str">
        <f ca="1">Start.listina!U144</f>
        <v/>
      </c>
      <c r="B414" s="227" t="str">
        <f ca="1">Start.listina!V144</f>
        <v xml:space="preserve"> </v>
      </c>
      <c r="C414" s="14" t="str">
        <f ca="1">Start.listina!W144</f>
        <v xml:space="preserve"> </v>
      </c>
      <c r="D414" s="14" t="str">
        <f ca="1">Start.listina!X144</f>
        <v xml:space="preserve"> </v>
      </c>
      <c r="E414" s="14">
        <f ca="1">Start.listina!Y144</f>
        <v>9999</v>
      </c>
      <c r="F414" s="14">
        <f ca="1">Start.listina!Z144</f>
        <v>0</v>
      </c>
    </row>
    <row r="415" spans="1:6">
      <c r="A415" s="14" t="str">
        <f ca="1">Start.listina!U145</f>
        <v/>
      </c>
      <c r="B415" s="227" t="str">
        <f ca="1">Start.listina!V145</f>
        <v xml:space="preserve"> </v>
      </c>
      <c r="C415" s="14" t="str">
        <f ca="1">Start.listina!W145</f>
        <v xml:space="preserve"> </v>
      </c>
      <c r="D415" s="14" t="str">
        <f ca="1">Start.listina!X145</f>
        <v xml:space="preserve"> </v>
      </c>
      <c r="E415" s="14">
        <f ca="1">Start.listina!Y145</f>
        <v>9999</v>
      </c>
      <c r="F415" s="14">
        <f ca="1">Start.listina!Z145</f>
        <v>0</v>
      </c>
    </row>
    <row r="416" spans="1:6">
      <c r="A416" s="14" t="str">
        <f ca="1">Start.listina!U146</f>
        <v/>
      </c>
      <c r="B416" s="227" t="str">
        <f ca="1">Start.listina!V146</f>
        <v xml:space="preserve"> </v>
      </c>
      <c r="C416" s="14" t="str">
        <f ca="1">Start.listina!W146</f>
        <v xml:space="preserve"> </v>
      </c>
      <c r="D416" s="14" t="str">
        <f ca="1">Start.listina!X146</f>
        <v xml:space="preserve"> </v>
      </c>
      <c r="E416" s="14">
        <f ca="1">Start.listina!Y146</f>
        <v>9999</v>
      </c>
      <c r="F416" s="14">
        <f ca="1">Start.listina!Z146</f>
        <v>0</v>
      </c>
    </row>
    <row r="417" spans="1:6">
      <c r="A417" s="14" t="str">
        <f ca="1">Start.listina!U147</f>
        <v/>
      </c>
      <c r="B417" s="227" t="str">
        <f ca="1">Start.listina!V147</f>
        <v xml:space="preserve"> </v>
      </c>
      <c r="C417" s="14" t="str">
        <f ca="1">Start.listina!W147</f>
        <v xml:space="preserve"> </v>
      </c>
      <c r="D417" s="14" t="str">
        <f ca="1">Start.listina!X147</f>
        <v xml:space="preserve"> </v>
      </c>
      <c r="E417" s="14">
        <f ca="1">Start.listina!Y147</f>
        <v>9999</v>
      </c>
      <c r="F417" s="14">
        <f ca="1">Start.listina!Z147</f>
        <v>0</v>
      </c>
    </row>
    <row r="418" spans="1:6">
      <c r="A418" s="14" t="str">
        <f ca="1">Start.listina!U148</f>
        <v/>
      </c>
      <c r="B418" s="227" t="str">
        <f ca="1">Start.listina!V148</f>
        <v xml:space="preserve"> </v>
      </c>
      <c r="C418" s="14" t="str">
        <f ca="1">Start.listina!W148</f>
        <v xml:space="preserve"> </v>
      </c>
      <c r="D418" s="14" t="str">
        <f ca="1">Start.listina!X148</f>
        <v xml:space="preserve"> </v>
      </c>
      <c r="E418" s="14">
        <f ca="1">Start.listina!Y148</f>
        <v>9999</v>
      </c>
      <c r="F418" s="14">
        <f ca="1">Start.listina!Z148</f>
        <v>0</v>
      </c>
    </row>
    <row r="419" spans="1:6">
      <c r="A419" s="14" t="str">
        <f ca="1">Start.listina!AA11</f>
        <v/>
      </c>
      <c r="B419" s="227" t="str">
        <f ca="1">Start.listina!AB11</f>
        <v xml:space="preserve"> </v>
      </c>
      <c r="C419" s="14" t="str">
        <f ca="1">Start.listina!AC11</f>
        <v xml:space="preserve"> </v>
      </c>
      <c r="D419" s="14" t="str">
        <f ca="1">Start.listina!AD11</f>
        <v xml:space="preserve"> </v>
      </c>
      <c r="E419" s="14">
        <f ca="1">Start.listina!AE11</f>
        <v>9999</v>
      </c>
      <c r="F419" s="14">
        <f ca="1">Start.listina!AF11</f>
        <v>0</v>
      </c>
    </row>
    <row r="420" spans="1:6">
      <c r="A420" s="14" t="str">
        <f ca="1">Start.listina!AA12</f>
        <v/>
      </c>
      <c r="B420" s="227" t="str">
        <f ca="1">Start.listina!AB12</f>
        <v xml:space="preserve"> </v>
      </c>
      <c r="C420" s="14" t="str">
        <f ca="1">Start.listina!AC12</f>
        <v xml:space="preserve"> </v>
      </c>
      <c r="D420" s="14" t="str">
        <f ca="1">Start.listina!AD12</f>
        <v xml:space="preserve"> </v>
      </c>
      <c r="E420" s="14">
        <f ca="1">Start.listina!AE12</f>
        <v>9999</v>
      </c>
      <c r="F420" s="14">
        <f ca="1">Start.listina!AF12</f>
        <v>0</v>
      </c>
    </row>
    <row r="421" spans="1:6">
      <c r="A421" s="14" t="str">
        <f ca="1">Start.listina!AA13</f>
        <v/>
      </c>
      <c r="B421" s="227" t="str">
        <f ca="1">Start.listina!AB13</f>
        <v xml:space="preserve"> </v>
      </c>
      <c r="C421" s="14" t="str">
        <f ca="1">Start.listina!AC13</f>
        <v xml:space="preserve"> </v>
      </c>
      <c r="D421" s="14" t="str">
        <f ca="1">Start.listina!AD13</f>
        <v xml:space="preserve"> </v>
      </c>
      <c r="E421" s="14">
        <f ca="1">Start.listina!AE13</f>
        <v>9999</v>
      </c>
      <c r="F421" s="14">
        <f ca="1">Start.listina!AF13</f>
        <v>0</v>
      </c>
    </row>
    <row r="422" spans="1:6">
      <c r="A422" s="14" t="str">
        <f ca="1">Start.listina!AA14</f>
        <v/>
      </c>
      <c r="B422" s="227" t="str">
        <f ca="1">Start.listina!AB14</f>
        <v xml:space="preserve"> </v>
      </c>
      <c r="C422" s="14" t="str">
        <f ca="1">Start.listina!AC14</f>
        <v xml:space="preserve"> </v>
      </c>
      <c r="D422" s="14" t="str">
        <f ca="1">Start.listina!AD14</f>
        <v xml:space="preserve"> </v>
      </c>
      <c r="E422" s="14">
        <f ca="1">Start.listina!AE14</f>
        <v>9999</v>
      </c>
      <c r="F422" s="14">
        <f ca="1">Start.listina!AF14</f>
        <v>0</v>
      </c>
    </row>
    <row r="423" spans="1:6">
      <c r="A423" s="14" t="str">
        <f ca="1">Start.listina!AA15</f>
        <v/>
      </c>
      <c r="B423" s="227" t="str">
        <f ca="1">Start.listina!AB15</f>
        <v xml:space="preserve"> </v>
      </c>
      <c r="C423" s="14" t="str">
        <f ca="1">Start.listina!AC15</f>
        <v xml:space="preserve"> </v>
      </c>
      <c r="D423" s="14" t="str">
        <f ca="1">Start.listina!AD15</f>
        <v xml:space="preserve"> </v>
      </c>
      <c r="E423" s="14">
        <f ca="1">Start.listina!AE15</f>
        <v>9999</v>
      </c>
      <c r="F423" s="14">
        <f ca="1">Start.listina!AF15</f>
        <v>0</v>
      </c>
    </row>
    <row r="424" spans="1:6">
      <c r="A424" s="14" t="str">
        <f ca="1">Start.listina!AA16</f>
        <v/>
      </c>
      <c r="B424" s="227" t="str">
        <f ca="1">Start.listina!AB16</f>
        <v xml:space="preserve"> </v>
      </c>
      <c r="C424" s="14" t="str">
        <f ca="1">Start.listina!AC16</f>
        <v xml:space="preserve"> </v>
      </c>
      <c r="D424" s="14" t="str">
        <f ca="1">Start.listina!AD16</f>
        <v xml:space="preserve"> </v>
      </c>
      <c r="E424" s="14">
        <f ca="1">Start.listina!AE16</f>
        <v>9999</v>
      </c>
      <c r="F424" s="14">
        <f ca="1">Start.listina!AF16</f>
        <v>0</v>
      </c>
    </row>
    <row r="425" spans="1:6">
      <c r="A425" s="14" t="str">
        <f ca="1">Start.listina!AA17</f>
        <v/>
      </c>
      <c r="B425" s="227" t="str">
        <f ca="1">Start.listina!AB17</f>
        <v xml:space="preserve"> </v>
      </c>
      <c r="C425" s="14" t="str">
        <f ca="1">Start.listina!AC17</f>
        <v xml:space="preserve"> </v>
      </c>
      <c r="D425" s="14" t="str">
        <f ca="1">Start.listina!AD17</f>
        <v xml:space="preserve"> </v>
      </c>
      <c r="E425" s="14">
        <f ca="1">Start.listina!AE17</f>
        <v>9999</v>
      </c>
      <c r="F425" s="14">
        <f ca="1">Start.listina!AF17</f>
        <v>0</v>
      </c>
    </row>
    <row r="426" spans="1:6">
      <c r="A426" s="14">
        <f ca="1">Start.listina!AA18</f>
        <v>16106</v>
      </c>
      <c r="B426" s="227" t="str">
        <f ca="1">Start.listina!AB18</f>
        <v>Konšel</v>
      </c>
      <c r="C426" s="14" t="str">
        <f ca="1">Start.listina!AC18</f>
        <v>Robin</v>
      </c>
      <c r="D426" s="14" t="str">
        <f ca="1">Start.listina!AD18</f>
        <v>HRODE KRUMSÍN</v>
      </c>
      <c r="E426" s="14">
        <f ca="1">Start.listina!AE18</f>
        <v>80</v>
      </c>
      <c r="F426" s="14">
        <f ca="1">Start.listina!AF18</f>
        <v>31.25</v>
      </c>
    </row>
    <row r="427" spans="1:6">
      <c r="A427" s="14" t="str">
        <f ca="1">Start.listina!AA19</f>
        <v/>
      </c>
      <c r="B427" s="227" t="str">
        <f ca="1">Start.listina!AB19</f>
        <v xml:space="preserve"> </v>
      </c>
      <c r="C427" s="14" t="str">
        <f ca="1">Start.listina!AC19</f>
        <v xml:space="preserve"> </v>
      </c>
      <c r="D427" s="14" t="str">
        <f ca="1">Start.listina!AD19</f>
        <v xml:space="preserve"> </v>
      </c>
      <c r="E427" s="14">
        <f ca="1">Start.listina!AE19</f>
        <v>9999</v>
      </c>
      <c r="F427" s="14">
        <f ca="1">Start.listina!AF19</f>
        <v>0</v>
      </c>
    </row>
    <row r="428" spans="1:6">
      <c r="A428" s="14" t="str">
        <f ca="1">Start.listina!AA20</f>
        <v/>
      </c>
      <c r="B428" s="227" t="str">
        <f ca="1">Start.listina!AB20</f>
        <v xml:space="preserve"> </v>
      </c>
      <c r="C428" s="14" t="str">
        <f ca="1">Start.listina!AC20</f>
        <v xml:space="preserve"> </v>
      </c>
      <c r="D428" s="14" t="str">
        <f ca="1">Start.listina!AD20</f>
        <v xml:space="preserve"> </v>
      </c>
      <c r="E428" s="14">
        <f ca="1">Start.listina!AE20</f>
        <v>9999</v>
      </c>
      <c r="F428" s="14">
        <f ca="1">Start.listina!AF20</f>
        <v>0</v>
      </c>
    </row>
    <row r="429" spans="1:6">
      <c r="A429" s="14">
        <f ca="1">Start.listina!AA21</f>
        <v>18042</v>
      </c>
      <c r="B429" s="227" t="str">
        <f ca="1">Start.listina!AB21</f>
        <v>Rousek</v>
      </c>
      <c r="C429" s="14" t="str">
        <f ca="1">Start.listina!AC21</f>
        <v>Simon</v>
      </c>
      <c r="D429" s="14" t="str">
        <f ca="1">Start.listina!AD21</f>
        <v>PEK Stolín</v>
      </c>
      <c r="E429" s="14">
        <f ca="1">Start.listina!AE21</f>
        <v>74</v>
      </c>
      <c r="F429" s="14">
        <f ca="1">Start.listina!AF21</f>
        <v>27.626000000000001</v>
      </c>
    </row>
    <row r="430" spans="1:6">
      <c r="A430" s="14" t="str">
        <f ca="1">Start.listina!AA22</f>
        <v/>
      </c>
      <c r="B430" s="227" t="str">
        <f ca="1">Start.listina!AB22</f>
        <v xml:space="preserve"> </v>
      </c>
      <c r="C430" s="14" t="str">
        <f ca="1">Start.listina!AC22</f>
        <v xml:space="preserve"> </v>
      </c>
      <c r="D430" s="14" t="str">
        <f ca="1">Start.listina!AD22</f>
        <v xml:space="preserve"> </v>
      </c>
      <c r="E430" s="14">
        <f ca="1">Start.listina!AE22</f>
        <v>9999</v>
      </c>
      <c r="F430" s="14">
        <f ca="1">Start.listina!AF22</f>
        <v>0</v>
      </c>
    </row>
    <row r="431" spans="1:6">
      <c r="A431" s="14" t="str">
        <f ca="1">Start.listina!AA23</f>
        <v/>
      </c>
      <c r="B431" s="227" t="str">
        <f ca="1">Start.listina!AB23</f>
        <v xml:space="preserve"> </v>
      </c>
      <c r="C431" s="14" t="str">
        <f ca="1">Start.listina!AC23</f>
        <v xml:space="preserve"> </v>
      </c>
      <c r="D431" s="14" t="str">
        <f ca="1">Start.listina!AD23</f>
        <v xml:space="preserve"> </v>
      </c>
      <c r="E431" s="14">
        <f ca="1">Start.listina!AE23</f>
        <v>9999</v>
      </c>
      <c r="F431" s="14">
        <f ca="1">Start.listina!AF23</f>
        <v>0</v>
      </c>
    </row>
    <row r="432" spans="1:6">
      <c r="A432" s="14" t="str">
        <f ca="1">Start.listina!AA24</f>
        <v/>
      </c>
      <c r="B432" s="227" t="str">
        <f ca="1">Start.listina!AB24</f>
        <v xml:space="preserve"> </v>
      </c>
      <c r="C432" s="14" t="str">
        <f ca="1">Start.listina!AC24</f>
        <v xml:space="preserve"> </v>
      </c>
      <c r="D432" s="14" t="str">
        <f ca="1">Start.listina!AD24</f>
        <v xml:space="preserve"> </v>
      </c>
      <c r="E432" s="14">
        <f ca="1">Start.listina!AE24</f>
        <v>9999</v>
      </c>
      <c r="F432" s="14">
        <f ca="1">Start.listina!AF24</f>
        <v>0</v>
      </c>
    </row>
    <row r="433" spans="1:6">
      <c r="A433" s="14">
        <f ca="1">Start.listina!AA25</f>
        <v>12017</v>
      </c>
      <c r="B433" s="227" t="str">
        <f ca="1">Start.listina!AB25</f>
        <v>Tomášková</v>
      </c>
      <c r="C433" s="14" t="str">
        <f ca="1">Start.listina!AC25</f>
        <v>Dana</v>
      </c>
      <c r="D433" s="14" t="str">
        <f ca="1">Start.listina!AD25</f>
        <v>CdP Loděnice</v>
      </c>
      <c r="E433" s="14">
        <f ca="1">Start.listina!AE25</f>
        <v>45</v>
      </c>
      <c r="F433" s="14">
        <f ca="1">Start.listina!AF25</f>
        <v>28</v>
      </c>
    </row>
    <row r="434" spans="1:6">
      <c r="A434" s="14" t="str">
        <f ca="1">Start.listina!AA26</f>
        <v/>
      </c>
      <c r="B434" s="227" t="str">
        <f ca="1">Start.listina!AB26</f>
        <v xml:space="preserve"> </v>
      </c>
      <c r="C434" s="14" t="str">
        <f ca="1">Start.listina!AC26</f>
        <v xml:space="preserve"> </v>
      </c>
      <c r="D434" s="14" t="str">
        <f ca="1">Start.listina!AD26</f>
        <v xml:space="preserve"> </v>
      </c>
      <c r="E434" s="14">
        <f ca="1">Start.listina!AE26</f>
        <v>9999</v>
      </c>
      <c r="F434" s="14">
        <f ca="1">Start.listina!AF26</f>
        <v>0</v>
      </c>
    </row>
    <row r="435" spans="1:6">
      <c r="A435" s="14" t="str">
        <f ca="1">Start.listina!AA27</f>
        <v/>
      </c>
      <c r="B435" s="227" t="str">
        <f ca="1">Start.listina!AB27</f>
        <v xml:space="preserve"> </v>
      </c>
      <c r="C435" s="14" t="str">
        <f ca="1">Start.listina!AC27</f>
        <v xml:space="preserve"> </v>
      </c>
      <c r="D435" s="14" t="str">
        <f ca="1">Start.listina!AD27</f>
        <v xml:space="preserve"> </v>
      </c>
      <c r="E435" s="14">
        <f ca="1">Start.listina!AE27</f>
        <v>9999</v>
      </c>
      <c r="F435" s="14">
        <f ca="1">Start.listina!AF27</f>
        <v>0</v>
      </c>
    </row>
    <row r="436" spans="1:6">
      <c r="A436" s="14" t="str">
        <f ca="1">Start.listina!AA28</f>
        <v/>
      </c>
      <c r="B436" s="227" t="str">
        <f ca="1">Start.listina!AB28</f>
        <v xml:space="preserve"> </v>
      </c>
      <c r="C436" s="14" t="str">
        <f ca="1">Start.listina!AC28</f>
        <v xml:space="preserve"> </v>
      </c>
      <c r="D436" s="14" t="str">
        <f ca="1">Start.listina!AD28</f>
        <v xml:space="preserve"> </v>
      </c>
      <c r="E436" s="14">
        <f ca="1">Start.listina!AE28</f>
        <v>9999</v>
      </c>
      <c r="F436" s="14">
        <f ca="1">Start.listina!AF28</f>
        <v>0</v>
      </c>
    </row>
    <row r="437" spans="1:6">
      <c r="A437" s="14" t="str">
        <f ca="1">Start.listina!AA29</f>
        <v/>
      </c>
      <c r="B437" s="227" t="str">
        <f ca="1">Start.listina!AB29</f>
        <v xml:space="preserve"> </v>
      </c>
      <c r="C437" s="14" t="str">
        <f ca="1">Start.listina!AC29</f>
        <v xml:space="preserve"> </v>
      </c>
      <c r="D437" s="14" t="str">
        <f ca="1">Start.listina!AD29</f>
        <v xml:space="preserve"> </v>
      </c>
      <c r="E437" s="14">
        <f ca="1">Start.listina!AE29</f>
        <v>9999</v>
      </c>
      <c r="F437" s="14">
        <f ca="1">Start.listina!AF29</f>
        <v>0</v>
      </c>
    </row>
    <row r="438" spans="1:6">
      <c r="A438" s="14" t="str">
        <f ca="1">Start.listina!AA30</f>
        <v/>
      </c>
      <c r="B438" s="227" t="str">
        <f ca="1">Start.listina!AB30</f>
        <v xml:space="preserve"> </v>
      </c>
      <c r="C438" s="14" t="str">
        <f ca="1">Start.listina!AC30</f>
        <v xml:space="preserve"> </v>
      </c>
      <c r="D438" s="14" t="str">
        <f ca="1">Start.listina!AD30</f>
        <v xml:space="preserve"> </v>
      </c>
      <c r="E438" s="14">
        <f ca="1">Start.listina!AE30</f>
        <v>9999</v>
      </c>
      <c r="F438" s="14">
        <f ca="1">Start.listina!AF30</f>
        <v>0</v>
      </c>
    </row>
    <row r="439" spans="1:6">
      <c r="A439" s="14" t="str">
        <f ca="1">Start.listina!AA31</f>
        <v/>
      </c>
      <c r="B439" s="227" t="str">
        <f ca="1">Start.listina!AB31</f>
        <v xml:space="preserve"> </v>
      </c>
      <c r="C439" s="14" t="str">
        <f ca="1">Start.listina!AC31</f>
        <v xml:space="preserve"> </v>
      </c>
      <c r="D439" s="14" t="str">
        <f ca="1">Start.listina!AD31</f>
        <v xml:space="preserve"> </v>
      </c>
      <c r="E439" s="14">
        <f ca="1">Start.listina!AE31</f>
        <v>9999</v>
      </c>
      <c r="F439" s="14">
        <f ca="1">Start.listina!AF31</f>
        <v>0</v>
      </c>
    </row>
    <row r="440" spans="1:6">
      <c r="A440" s="14" t="str">
        <f ca="1">Start.listina!AA32</f>
        <v/>
      </c>
      <c r="B440" s="227" t="str">
        <f ca="1">Start.listina!AB32</f>
        <v xml:space="preserve"> </v>
      </c>
      <c r="C440" s="14" t="str">
        <f ca="1">Start.listina!AC32</f>
        <v xml:space="preserve"> </v>
      </c>
      <c r="D440" s="14" t="str">
        <f ca="1">Start.listina!AD32</f>
        <v xml:space="preserve"> </v>
      </c>
      <c r="E440" s="14">
        <f ca="1">Start.listina!AE32</f>
        <v>9999</v>
      </c>
      <c r="F440" s="14">
        <f ca="1">Start.listina!AF32</f>
        <v>0</v>
      </c>
    </row>
    <row r="441" spans="1:6">
      <c r="A441" s="14" t="str">
        <f ca="1">Start.listina!AA33</f>
        <v/>
      </c>
      <c r="B441" s="227" t="str">
        <f ca="1">Start.listina!AB33</f>
        <v xml:space="preserve"> </v>
      </c>
      <c r="C441" s="14" t="str">
        <f ca="1">Start.listina!AC33</f>
        <v xml:space="preserve"> </v>
      </c>
      <c r="D441" s="14" t="str">
        <f ca="1">Start.listina!AD33</f>
        <v xml:space="preserve"> </v>
      </c>
      <c r="E441" s="14">
        <f ca="1">Start.listina!AE33</f>
        <v>9999</v>
      </c>
      <c r="F441" s="14">
        <f ca="1">Start.listina!AF33</f>
        <v>0</v>
      </c>
    </row>
    <row r="442" spans="1:6">
      <c r="A442" s="14" t="str">
        <f ca="1">Start.listina!AA34</f>
        <v/>
      </c>
      <c r="B442" s="227" t="str">
        <f ca="1">Start.listina!AB34</f>
        <v xml:space="preserve"> </v>
      </c>
      <c r="C442" s="14" t="str">
        <f ca="1">Start.listina!AC34</f>
        <v xml:space="preserve"> </v>
      </c>
      <c r="D442" s="14" t="str">
        <f ca="1">Start.listina!AD34</f>
        <v xml:space="preserve"> </v>
      </c>
      <c r="E442" s="14">
        <f ca="1">Start.listina!AE34</f>
        <v>9999</v>
      </c>
      <c r="F442" s="14">
        <f ca="1">Start.listina!AF34</f>
        <v>0</v>
      </c>
    </row>
    <row r="443" spans="1:6">
      <c r="A443" s="14" t="str">
        <f ca="1">Start.listina!AA35</f>
        <v/>
      </c>
      <c r="B443" s="227" t="str">
        <f ca="1">Start.listina!AB35</f>
        <v xml:space="preserve"> </v>
      </c>
      <c r="C443" s="14" t="str">
        <f ca="1">Start.listina!AC35</f>
        <v xml:space="preserve"> </v>
      </c>
      <c r="D443" s="14" t="str">
        <f ca="1">Start.listina!AD35</f>
        <v xml:space="preserve"> </v>
      </c>
      <c r="E443" s="14">
        <f ca="1">Start.listina!AE35</f>
        <v>9999</v>
      </c>
      <c r="F443" s="14">
        <f ca="1">Start.listina!AF35</f>
        <v>0</v>
      </c>
    </row>
    <row r="444" spans="1:6">
      <c r="A444" s="14" t="str">
        <f ca="1">Start.listina!AA36</f>
        <v/>
      </c>
      <c r="B444" s="227" t="str">
        <f ca="1">Start.listina!AB36</f>
        <v xml:space="preserve"> </v>
      </c>
      <c r="C444" s="14" t="str">
        <f ca="1">Start.listina!AC36</f>
        <v xml:space="preserve"> </v>
      </c>
      <c r="D444" s="14" t="str">
        <f ca="1">Start.listina!AD36</f>
        <v xml:space="preserve"> </v>
      </c>
      <c r="E444" s="14">
        <f ca="1">Start.listina!AE36</f>
        <v>9999</v>
      </c>
      <c r="F444" s="14">
        <f ca="1">Start.listina!AF36</f>
        <v>0</v>
      </c>
    </row>
    <row r="445" spans="1:6">
      <c r="A445" s="14" t="str">
        <f ca="1">Start.listina!AA37</f>
        <v/>
      </c>
      <c r="B445" s="227" t="str">
        <f ca="1">Start.listina!AB37</f>
        <v xml:space="preserve"> </v>
      </c>
      <c r="C445" s="14" t="str">
        <f ca="1">Start.listina!AC37</f>
        <v xml:space="preserve"> </v>
      </c>
      <c r="D445" s="14" t="str">
        <f ca="1">Start.listina!AD37</f>
        <v xml:space="preserve"> </v>
      </c>
      <c r="E445" s="14">
        <f ca="1">Start.listina!AE37</f>
        <v>9999</v>
      </c>
      <c r="F445" s="14">
        <f ca="1">Start.listina!AF37</f>
        <v>0</v>
      </c>
    </row>
    <row r="446" spans="1:6">
      <c r="A446" s="14" t="str">
        <f ca="1">Start.listina!AA38</f>
        <v/>
      </c>
      <c r="B446" s="227" t="str">
        <f ca="1">Start.listina!AB38</f>
        <v xml:space="preserve"> </v>
      </c>
      <c r="C446" s="14" t="str">
        <f ca="1">Start.listina!AC38</f>
        <v xml:space="preserve"> </v>
      </c>
      <c r="D446" s="14" t="str">
        <f ca="1">Start.listina!AD38</f>
        <v xml:space="preserve"> </v>
      </c>
      <c r="E446" s="14">
        <f ca="1">Start.listina!AE38</f>
        <v>9999</v>
      </c>
      <c r="F446" s="14">
        <f ca="1">Start.listina!AF38</f>
        <v>0</v>
      </c>
    </row>
    <row r="447" spans="1:6">
      <c r="A447" s="14" t="str">
        <f ca="1">Start.listina!AA39</f>
        <v/>
      </c>
      <c r="B447" s="227" t="str">
        <f ca="1">Start.listina!AB39</f>
        <v xml:space="preserve"> </v>
      </c>
      <c r="C447" s="14" t="str">
        <f ca="1">Start.listina!AC39</f>
        <v xml:space="preserve"> </v>
      </c>
      <c r="D447" s="14" t="str">
        <f ca="1">Start.listina!AD39</f>
        <v xml:space="preserve"> </v>
      </c>
      <c r="E447" s="14">
        <f ca="1">Start.listina!AE39</f>
        <v>9999</v>
      </c>
      <c r="F447" s="14">
        <f ca="1">Start.listina!AF39</f>
        <v>0</v>
      </c>
    </row>
    <row r="448" spans="1:6">
      <c r="A448" s="14" t="str">
        <f ca="1">Start.listina!AA40</f>
        <v/>
      </c>
      <c r="B448" s="227" t="str">
        <f ca="1">Start.listina!AB40</f>
        <v xml:space="preserve"> </v>
      </c>
      <c r="C448" s="14" t="str">
        <f ca="1">Start.listina!AC40</f>
        <v xml:space="preserve"> </v>
      </c>
      <c r="D448" s="14" t="str">
        <f ca="1">Start.listina!AD40</f>
        <v xml:space="preserve"> </v>
      </c>
      <c r="E448" s="14">
        <f ca="1">Start.listina!AE40</f>
        <v>9999</v>
      </c>
      <c r="F448" s="14">
        <f ca="1">Start.listina!AF40</f>
        <v>0</v>
      </c>
    </row>
    <row r="449" spans="1:6">
      <c r="A449" s="14" t="str">
        <f ca="1">Start.listina!AA41</f>
        <v/>
      </c>
      <c r="B449" s="227" t="str">
        <f ca="1">Start.listina!AB41</f>
        <v xml:space="preserve"> </v>
      </c>
      <c r="C449" s="14" t="str">
        <f ca="1">Start.listina!AC41</f>
        <v xml:space="preserve"> </v>
      </c>
      <c r="D449" s="14" t="str">
        <f ca="1">Start.listina!AD41</f>
        <v xml:space="preserve"> </v>
      </c>
      <c r="E449" s="14">
        <f ca="1">Start.listina!AE41</f>
        <v>9999</v>
      </c>
      <c r="F449" s="14">
        <f ca="1">Start.listina!AF41</f>
        <v>0</v>
      </c>
    </row>
    <row r="450" spans="1:6">
      <c r="A450" s="14" t="str">
        <f ca="1">Start.listina!AA42</f>
        <v/>
      </c>
      <c r="B450" s="227" t="str">
        <f ca="1">Start.listina!AB42</f>
        <v xml:space="preserve"> </v>
      </c>
      <c r="C450" s="14" t="str">
        <f ca="1">Start.listina!AC42</f>
        <v xml:space="preserve"> </v>
      </c>
      <c r="D450" s="14" t="str">
        <f ca="1">Start.listina!AD42</f>
        <v xml:space="preserve"> </v>
      </c>
      <c r="E450" s="14">
        <f ca="1">Start.listina!AE42</f>
        <v>9999</v>
      </c>
      <c r="F450" s="14">
        <f ca="1">Start.listina!AF42</f>
        <v>0</v>
      </c>
    </row>
    <row r="451" spans="1:6">
      <c r="A451" s="14" t="str">
        <f ca="1">Start.listina!AA43</f>
        <v/>
      </c>
      <c r="B451" s="227" t="str">
        <f ca="1">Start.listina!AB43</f>
        <v xml:space="preserve"> </v>
      </c>
      <c r="C451" s="14" t="str">
        <f ca="1">Start.listina!AC43</f>
        <v xml:space="preserve"> </v>
      </c>
      <c r="D451" s="14" t="str">
        <f ca="1">Start.listina!AD43</f>
        <v xml:space="preserve"> </v>
      </c>
      <c r="E451" s="14">
        <f ca="1">Start.listina!AE43</f>
        <v>9999</v>
      </c>
      <c r="F451" s="14">
        <f ca="1">Start.listina!AF43</f>
        <v>0</v>
      </c>
    </row>
    <row r="452" spans="1:6">
      <c r="A452" s="14" t="str">
        <f ca="1">Start.listina!AA44</f>
        <v/>
      </c>
      <c r="B452" s="227" t="str">
        <f ca="1">Start.listina!AB44</f>
        <v xml:space="preserve"> </v>
      </c>
      <c r="C452" s="14" t="str">
        <f ca="1">Start.listina!AC44</f>
        <v xml:space="preserve"> </v>
      </c>
      <c r="D452" s="14" t="str">
        <f ca="1">Start.listina!AD44</f>
        <v xml:space="preserve"> </v>
      </c>
      <c r="E452" s="14">
        <f ca="1">Start.listina!AE44</f>
        <v>9999</v>
      </c>
      <c r="F452" s="14">
        <f ca="1">Start.listina!AF44</f>
        <v>0</v>
      </c>
    </row>
    <row r="453" spans="1:6">
      <c r="A453" s="14" t="str">
        <f ca="1">Start.listina!AA45</f>
        <v/>
      </c>
      <c r="B453" s="227" t="str">
        <f ca="1">Start.listina!AB45</f>
        <v xml:space="preserve"> </v>
      </c>
      <c r="C453" s="14" t="str">
        <f ca="1">Start.listina!AC45</f>
        <v xml:space="preserve"> </v>
      </c>
      <c r="D453" s="14" t="str">
        <f ca="1">Start.listina!AD45</f>
        <v xml:space="preserve"> </v>
      </c>
      <c r="E453" s="14">
        <f ca="1">Start.listina!AE45</f>
        <v>9999</v>
      </c>
      <c r="F453" s="14">
        <f ca="1">Start.listina!AF45</f>
        <v>0</v>
      </c>
    </row>
    <row r="454" spans="1:6">
      <c r="A454" s="14" t="str">
        <f ca="1">Start.listina!AA46</f>
        <v/>
      </c>
      <c r="B454" s="227" t="str">
        <f ca="1">Start.listina!AB46</f>
        <v xml:space="preserve"> </v>
      </c>
      <c r="C454" s="14" t="str">
        <f ca="1">Start.listina!AC46</f>
        <v xml:space="preserve"> </v>
      </c>
      <c r="D454" s="14" t="str">
        <f ca="1">Start.listina!AD46</f>
        <v xml:space="preserve"> </v>
      </c>
      <c r="E454" s="14">
        <f ca="1">Start.listina!AE46</f>
        <v>9999</v>
      </c>
      <c r="F454" s="14">
        <f ca="1">Start.listina!AF46</f>
        <v>0</v>
      </c>
    </row>
    <row r="455" spans="1:6">
      <c r="A455" s="14" t="str">
        <f ca="1">Start.listina!AA47</f>
        <v/>
      </c>
      <c r="B455" s="227" t="str">
        <f ca="1">Start.listina!AB47</f>
        <v xml:space="preserve"> </v>
      </c>
      <c r="C455" s="14" t="str">
        <f ca="1">Start.listina!AC47</f>
        <v xml:space="preserve"> </v>
      </c>
      <c r="D455" s="14" t="str">
        <f ca="1">Start.listina!AD47</f>
        <v xml:space="preserve"> </v>
      </c>
      <c r="E455" s="14">
        <f ca="1">Start.listina!AE47</f>
        <v>9999</v>
      </c>
      <c r="F455" s="14">
        <f ca="1">Start.listina!AF47</f>
        <v>0</v>
      </c>
    </row>
    <row r="456" spans="1:6">
      <c r="A456" s="14" t="str">
        <f ca="1">Start.listina!AA48</f>
        <v/>
      </c>
      <c r="B456" s="227" t="str">
        <f ca="1">Start.listina!AB48</f>
        <v xml:space="preserve"> </v>
      </c>
      <c r="C456" s="14" t="str">
        <f ca="1">Start.listina!AC48</f>
        <v xml:space="preserve"> </v>
      </c>
      <c r="D456" s="14" t="str">
        <f ca="1">Start.listina!AD48</f>
        <v xml:space="preserve"> </v>
      </c>
      <c r="E456" s="14">
        <f ca="1">Start.listina!AE48</f>
        <v>9999</v>
      </c>
      <c r="F456" s="14">
        <f ca="1">Start.listina!AF48</f>
        <v>0</v>
      </c>
    </row>
    <row r="457" spans="1:6">
      <c r="A457" s="14" t="str">
        <f ca="1">Start.listina!AA49</f>
        <v/>
      </c>
      <c r="B457" s="227" t="str">
        <f ca="1">Start.listina!AB49</f>
        <v xml:space="preserve"> </v>
      </c>
      <c r="C457" s="14" t="str">
        <f ca="1">Start.listina!AC49</f>
        <v xml:space="preserve"> </v>
      </c>
      <c r="D457" s="14" t="str">
        <f ca="1">Start.listina!AD49</f>
        <v xml:space="preserve"> </v>
      </c>
      <c r="E457" s="14">
        <f ca="1">Start.listina!AE49</f>
        <v>9999</v>
      </c>
      <c r="F457" s="14">
        <f ca="1">Start.listina!AF49</f>
        <v>0</v>
      </c>
    </row>
    <row r="458" spans="1:6">
      <c r="A458" s="14" t="str">
        <f ca="1">Start.listina!AA50</f>
        <v/>
      </c>
      <c r="B458" s="227" t="str">
        <f ca="1">Start.listina!AB50</f>
        <v xml:space="preserve"> </v>
      </c>
      <c r="C458" s="14" t="str">
        <f ca="1">Start.listina!AC50</f>
        <v xml:space="preserve"> </v>
      </c>
      <c r="D458" s="14" t="str">
        <f ca="1">Start.listina!AD50</f>
        <v xml:space="preserve"> </v>
      </c>
      <c r="E458" s="14">
        <f ca="1">Start.listina!AE50</f>
        <v>9999</v>
      </c>
      <c r="F458" s="14">
        <f ca="1">Start.listina!AF50</f>
        <v>0</v>
      </c>
    </row>
    <row r="459" spans="1:6">
      <c r="A459" s="14" t="str">
        <f ca="1">Start.listina!AA51</f>
        <v/>
      </c>
      <c r="B459" s="227" t="str">
        <f ca="1">Start.listina!AB51</f>
        <v xml:space="preserve"> </v>
      </c>
      <c r="C459" s="14" t="str">
        <f ca="1">Start.listina!AC51</f>
        <v xml:space="preserve"> </v>
      </c>
      <c r="D459" s="14" t="str">
        <f ca="1">Start.listina!AD51</f>
        <v xml:space="preserve"> </v>
      </c>
      <c r="E459" s="14">
        <f ca="1">Start.listina!AE51</f>
        <v>9999</v>
      </c>
      <c r="F459" s="14">
        <f ca="1">Start.listina!AF51</f>
        <v>0</v>
      </c>
    </row>
    <row r="460" spans="1:6">
      <c r="A460" s="14" t="str">
        <f ca="1">Start.listina!AA52</f>
        <v/>
      </c>
      <c r="B460" s="227" t="str">
        <f ca="1">Start.listina!AB52</f>
        <v xml:space="preserve"> </v>
      </c>
      <c r="C460" s="14" t="str">
        <f ca="1">Start.listina!AC52</f>
        <v xml:space="preserve"> </v>
      </c>
      <c r="D460" s="14" t="str">
        <f ca="1">Start.listina!AD52</f>
        <v xml:space="preserve"> </v>
      </c>
      <c r="E460" s="14">
        <f ca="1">Start.listina!AE52</f>
        <v>9999</v>
      </c>
      <c r="F460" s="14">
        <f ca="1">Start.listina!AF52</f>
        <v>0</v>
      </c>
    </row>
    <row r="461" spans="1:6">
      <c r="A461" s="14" t="str">
        <f ca="1">Start.listina!AA53</f>
        <v/>
      </c>
      <c r="B461" s="227" t="str">
        <f ca="1">Start.listina!AB53</f>
        <v xml:space="preserve"> </v>
      </c>
      <c r="C461" s="14" t="str">
        <f ca="1">Start.listina!AC53</f>
        <v xml:space="preserve"> </v>
      </c>
      <c r="D461" s="14" t="str">
        <f ca="1">Start.listina!AD53</f>
        <v xml:space="preserve"> </v>
      </c>
      <c r="E461" s="14">
        <f ca="1">Start.listina!AE53</f>
        <v>9999</v>
      </c>
      <c r="F461" s="14">
        <f ca="1">Start.listina!AF53</f>
        <v>0</v>
      </c>
    </row>
    <row r="462" spans="1:6">
      <c r="A462" s="14" t="str">
        <f ca="1">Start.listina!AA54</f>
        <v/>
      </c>
      <c r="B462" s="227" t="str">
        <f ca="1">Start.listina!AB54</f>
        <v xml:space="preserve"> </v>
      </c>
      <c r="C462" s="14" t="str">
        <f ca="1">Start.listina!AC54</f>
        <v xml:space="preserve"> </v>
      </c>
      <c r="D462" s="14" t="str">
        <f ca="1">Start.listina!AD54</f>
        <v xml:space="preserve"> </v>
      </c>
      <c r="E462" s="14">
        <f ca="1">Start.listina!AE54</f>
        <v>9999</v>
      </c>
      <c r="F462" s="14">
        <f ca="1">Start.listina!AF54</f>
        <v>0</v>
      </c>
    </row>
    <row r="463" spans="1:6">
      <c r="A463" s="14" t="str">
        <f ca="1">Start.listina!AA55</f>
        <v/>
      </c>
      <c r="B463" s="227" t="str">
        <f ca="1">Start.listina!AB55</f>
        <v xml:space="preserve"> </v>
      </c>
      <c r="C463" s="14" t="str">
        <f ca="1">Start.listina!AC55</f>
        <v xml:space="preserve"> </v>
      </c>
      <c r="D463" s="14" t="str">
        <f ca="1">Start.listina!AD55</f>
        <v xml:space="preserve"> </v>
      </c>
      <c r="E463" s="14">
        <f ca="1">Start.listina!AE55</f>
        <v>9999</v>
      </c>
      <c r="F463" s="14">
        <f ca="1">Start.listina!AF55</f>
        <v>0</v>
      </c>
    </row>
    <row r="464" spans="1:6">
      <c r="A464" s="14" t="str">
        <f ca="1">Start.listina!AA56</f>
        <v/>
      </c>
      <c r="B464" s="227" t="str">
        <f ca="1">Start.listina!AB56</f>
        <v xml:space="preserve"> </v>
      </c>
      <c r="C464" s="14" t="str">
        <f ca="1">Start.listina!AC56</f>
        <v xml:space="preserve"> </v>
      </c>
      <c r="D464" s="14" t="str">
        <f ca="1">Start.listina!AD56</f>
        <v xml:space="preserve"> </v>
      </c>
      <c r="E464" s="14">
        <f ca="1">Start.listina!AE56</f>
        <v>9999</v>
      </c>
      <c r="F464" s="14">
        <f ca="1">Start.listina!AF56</f>
        <v>0</v>
      </c>
    </row>
    <row r="465" spans="1:6">
      <c r="A465" s="14" t="str">
        <f ca="1">Start.listina!AA57</f>
        <v/>
      </c>
      <c r="B465" s="227" t="str">
        <f ca="1">Start.listina!AB57</f>
        <v xml:space="preserve"> </v>
      </c>
      <c r="C465" s="14" t="str">
        <f ca="1">Start.listina!AC57</f>
        <v xml:space="preserve"> </v>
      </c>
      <c r="D465" s="14" t="str">
        <f ca="1">Start.listina!AD57</f>
        <v xml:space="preserve"> </v>
      </c>
      <c r="E465" s="14">
        <f ca="1">Start.listina!AE57</f>
        <v>9999</v>
      </c>
      <c r="F465" s="14">
        <f ca="1">Start.listina!AF57</f>
        <v>0</v>
      </c>
    </row>
    <row r="466" spans="1:6">
      <c r="A466" s="14" t="str">
        <f ca="1">Start.listina!AA58</f>
        <v/>
      </c>
      <c r="B466" s="227" t="str">
        <f ca="1">Start.listina!AB58</f>
        <v xml:space="preserve"> </v>
      </c>
      <c r="C466" s="14" t="str">
        <f ca="1">Start.listina!AC58</f>
        <v xml:space="preserve"> </v>
      </c>
      <c r="D466" s="14" t="str">
        <f ca="1">Start.listina!AD58</f>
        <v xml:space="preserve"> </v>
      </c>
      <c r="E466" s="14">
        <f ca="1">Start.listina!AE58</f>
        <v>9999</v>
      </c>
      <c r="F466" s="14">
        <f ca="1">Start.listina!AF58</f>
        <v>0</v>
      </c>
    </row>
    <row r="467" spans="1:6">
      <c r="A467" s="14" t="str">
        <f ca="1">Start.listina!AA59</f>
        <v/>
      </c>
      <c r="B467" s="227" t="str">
        <f ca="1">Start.listina!AB59</f>
        <v xml:space="preserve"> </v>
      </c>
      <c r="C467" s="14" t="str">
        <f ca="1">Start.listina!AC59</f>
        <v xml:space="preserve"> </v>
      </c>
      <c r="D467" s="14" t="str">
        <f ca="1">Start.listina!AD59</f>
        <v xml:space="preserve"> </v>
      </c>
      <c r="E467" s="14">
        <f ca="1">Start.listina!AE59</f>
        <v>9999</v>
      </c>
      <c r="F467" s="14">
        <f ca="1">Start.listina!AF59</f>
        <v>0</v>
      </c>
    </row>
    <row r="468" spans="1:6">
      <c r="A468" s="14" t="str">
        <f ca="1">Start.listina!AA60</f>
        <v/>
      </c>
      <c r="B468" s="227" t="str">
        <f ca="1">Start.listina!AB60</f>
        <v xml:space="preserve"> </v>
      </c>
      <c r="C468" s="14" t="str">
        <f ca="1">Start.listina!AC60</f>
        <v xml:space="preserve"> </v>
      </c>
      <c r="D468" s="14" t="str">
        <f ca="1">Start.listina!AD60</f>
        <v xml:space="preserve"> </v>
      </c>
      <c r="E468" s="14">
        <f ca="1">Start.listina!AE60</f>
        <v>9999</v>
      </c>
      <c r="F468" s="14">
        <f ca="1">Start.listina!AF60</f>
        <v>0</v>
      </c>
    </row>
    <row r="469" spans="1:6">
      <c r="A469" s="14" t="str">
        <f ca="1">Start.listina!AA61</f>
        <v/>
      </c>
      <c r="B469" s="227" t="str">
        <f ca="1">Start.listina!AB61</f>
        <v xml:space="preserve"> </v>
      </c>
      <c r="C469" s="14" t="str">
        <f ca="1">Start.listina!AC61</f>
        <v xml:space="preserve"> </v>
      </c>
      <c r="D469" s="14" t="str">
        <f ca="1">Start.listina!AD61</f>
        <v xml:space="preserve"> </v>
      </c>
      <c r="E469" s="14">
        <f ca="1">Start.listina!AE61</f>
        <v>9999</v>
      </c>
      <c r="F469" s="14">
        <f ca="1">Start.listina!AF61</f>
        <v>0</v>
      </c>
    </row>
    <row r="470" spans="1:6">
      <c r="A470" s="14" t="str">
        <f ca="1">Start.listina!AA62</f>
        <v/>
      </c>
      <c r="B470" s="227" t="str">
        <f ca="1">Start.listina!AB62</f>
        <v xml:space="preserve"> </v>
      </c>
      <c r="C470" s="14" t="str">
        <f ca="1">Start.listina!AC62</f>
        <v xml:space="preserve"> </v>
      </c>
      <c r="D470" s="14" t="str">
        <f ca="1">Start.listina!AD62</f>
        <v xml:space="preserve"> </v>
      </c>
      <c r="E470" s="14">
        <f ca="1">Start.listina!AE62</f>
        <v>9999</v>
      </c>
      <c r="F470" s="14">
        <f ca="1">Start.listina!AF62</f>
        <v>0</v>
      </c>
    </row>
    <row r="471" spans="1:6">
      <c r="A471" s="14" t="str">
        <f ca="1">Start.listina!AA63</f>
        <v/>
      </c>
      <c r="B471" s="227" t="str">
        <f ca="1">Start.listina!AB63</f>
        <v xml:space="preserve"> </v>
      </c>
      <c r="C471" s="14" t="str">
        <f ca="1">Start.listina!AC63</f>
        <v xml:space="preserve"> </v>
      </c>
      <c r="D471" s="14" t="str">
        <f ca="1">Start.listina!AD63</f>
        <v xml:space="preserve"> </v>
      </c>
      <c r="E471" s="14">
        <f ca="1">Start.listina!AE63</f>
        <v>9999</v>
      </c>
      <c r="F471" s="14">
        <f ca="1">Start.listina!AF63</f>
        <v>0</v>
      </c>
    </row>
    <row r="472" spans="1:6">
      <c r="A472" s="14" t="str">
        <f ca="1">Start.listina!AA64</f>
        <v/>
      </c>
      <c r="B472" s="227" t="str">
        <f ca="1">Start.listina!AB64</f>
        <v xml:space="preserve"> </v>
      </c>
      <c r="C472" s="14" t="str">
        <f ca="1">Start.listina!AC64</f>
        <v xml:space="preserve"> </v>
      </c>
      <c r="D472" s="14" t="str">
        <f ca="1">Start.listina!AD64</f>
        <v xml:space="preserve"> </v>
      </c>
      <c r="E472" s="14">
        <f ca="1">Start.listina!AE64</f>
        <v>9999</v>
      </c>
      <c r="F472" s="14">
        <f ca="1">Start.listina!AF64</f>
        <v>0</v>
      </c>
    </row>
    <row r="473" spans="1:6">
      <c r="A473" s="14" t="str">
        <f ca="1">Start.listina!AA65</f>
        <v/>
      </c>
      <c r="B473" s="227" t="str">
        <f ca="1">Start.listina!AB65</f>
        <v xml:space="preserve"> </v>
      </c>
      <c r="C473" s="14" t="str">
        <f ca="1">Start.listina!AC65</f>
        <v xml:space="preserve"> </v>
      </c>
      <c r="D473" s="14" t="str">
        <f ca="1">Start.listina!AD65</f>
        <v xml:space="preserve"> </v>
      </c>
      <c r="E473" s="14">
        <f ca="1">Start.listina!AE65</f>
        <v>9999</v>
      </c>
      <c r="F473" s="14">
        <f ca="1">Start.listina!AF65</f>
        <v>0</v>
      </c>
    </row>
    <row r="474" spans="1:6">
      <c r="A474" s="14" t="str">
        <f ca="1">Start.listina!AA66</f>
        <v/>
      </c>
      <c r="B474" s="227" t="str">
        <f ca="1">Start.listina!AB66</f>
        <v xml:space="preserve"> </v>
      </c>
      <c r="C474" s="14" t="str">
        <f ca="1">Start.listina!AC66</f>
        <v xml:space="preserve"> </v>
      </c>
      <c r="D474" s="14" t="str">
        <f ca="1">Start.listina!AD66</f>
        <v xml:space="preserve"> </v>
      </c>
      <c r="E474" s="14">
        <f ca="1">Start.listina!AE66</f>
        <v>9999</v>
      </c>
      <c r="F474" s="14">
        <f ca="1">Start.listina!AF66</f>
        <v>0</v>
      </c>
    </row>
    <row r="475" spans="1:6">
      <c r="A475" s="14" t="str">
        <f ca="1">Start.listina!AA67</f>
        <v/>
      </c>
      <c r="B475" s="227" t="str">
        <f ca="1">Start.listina!AB67</f>
        <v xml:space="preserve"> </v>
      </c>
      <c r="C475" s="14" t="str">
        <f ca="1">Start.listina!AC67</f>
        <v xml:space="preserve"> </v>
      </c>
      <c r="D475" s="14" t="str">
        <f ca="1">Start.listina!AD67</f>
        <v xml:space="preserve"> </v>
      </c>
      <c r="E475" s="14">
        <f ca="1">Start.listina!AE67</f>
        <v>9999</v>
      </c>
      <c r="F475" s="14">
        <f ca="1">Start.listina!AF67</f>
        <v>0</v>
      </c>
    </row>
    <row r="476" spans="1:6">
      <c r="A476" s="14" t="str">
        <f ca="1">Start.listina!AA68</f>
        <v/>
      </c>
      <c r="B476" s="227" t="str">
        <f ca="1">Start.listina!AB68</f>
        <v xml:space="preserve"> </v>
      </c>
      <c r="C476" s="14" t="str">
        <f ca="1">Start.listina!AC68</f>
        <v xml:space="preserve"> </v>
      </c>
      <c r="D476" s="14" t="str">
        <f ca="1">Start.listina!AD68</f>
        <v xml:space="preserve"> </v>
      </c>
      <c r="E476" s="14">
        <f ca="1">Start.listina!AE68</f>
        <v>9999</v>
      </c>
      <c r="F476" s="14">
        <f ca="1">Start.listina!AF68</f>
        <v>0</v>
      </c>
    </row>
    <row r="477" spans="1:6">
      <c r="A477" s="14" t="str">
        <f ca="1">Start.listina!AA69</f>
        <v/>
      </c>
      <c r="B477" s="227" t="str">
        <f ca="1">Start.listina!AB69</f>
        <v xml:space="preserve"> </v>
      </c>
      <c r="C477" s="14" t="str">
        <f ca="1">Start.listina!AC69</f>
        <v xml:space="preserve"> </v>
      </c>
      <c r="D477" s="14" t="str">
        <f ca="1">Start.listina!AD69</f>
        <v xml:space="preserve"> </v>
      </c>
      <c r="E477" s="14">
        <f ca="1">Start.listina!AE69</f>
        <v>9999</v>
      </c>
      <c r="F477" s="14">
        <f ca="1">Start.listina!AF69</f>
        <v>0</v>
      </c>
    </row>
    <row r="478" spans="1:6">
      <c r="A478" s="14" t="str">
        <f ca="1">Start.listina!AA70</f>
        <v/>
      </c>
      <c r="B478" s="227" t="str">
        <f ca="1">Start.listina!AB70</f>
        <v xml:space="preserve"> </v>
      </c>
      <c r="C478" s="14" t="str">
        <f ca="1">Start.listina!AC70</f>
        <v xml:space="preserve"> </v>
      </c>
      <c r="D478" s="14" t="str">
        <f ca="1">Start.listina!AD70</f>
        <v xml:space="preserve"> </v>
      </c>
      <c r="E478" s="14">
        <f ca="1">Start.listina!AE70</f>
        <v>9999</v>
      </c>
      <c r="F478" s="14">
        <f ca="1">Start.listina!AF70</f>
        <v>0</v>
      </c>
    </row>
    <row r="479" spans="1:6">
      <c r="A479" s="14" t="str">
        <f ca="1">Start.listina!AA71</f>
        <v/>
      </c>
      <c r="B479" s="227" t="str">
        <f ca="1">Start.listina!AB71</f>
        <v xml:space="preserve"> </v>
      </c>
      <c r="C479" s="14" t="str">
        <f ca="1">Start.listina!AC71</f>
        <v xml:space="preserve"> </v>
      </c>
      <c r="D479" s="14" t="str">
        <f ca="1">Start.listina!AD71</f>
        <v xml:space="preserve"> </v>
      </c>
      <c r="E479" s="14">
        <f ca="1">Start.listina!AE71</f>
        <v>9999</v>
      </c>
      <c r="F479" s="14">
        <f ca="1">Start.listina!AF71</f>
        <v>0</v>
      </c>
    </row>
    <row r="480" spans="1:6">
      <c r="A480" s="14" t="str">
        <f ca="1">Start.listina!AA72</f>
        <v/>
      </c>
      <c r="B480" s="227" t="str">
        <f ca="1">Start.listina!AB72</f>
        <v xml:space="preserve"> </v>
      </c>
      <c r="C480" s="14" t="str">
        <f ca="1">Start.listina!AC72</f>
        <v xml:space="preserve"> </v>
      </c>
      <c r="D480" s="14" t="str">
        <f ca="1">Start.listina!AD72</f>
        <v xml:space="preserve"> </v>
      </c>
      <c r="E480" s="14">
        <f ca="1">Start.listina!AE72</f>
        <v>9999</v>
      </c>
      <c r="F480" s="14">
        <f ca="1">Start.listina!AF72</f>
        <v>0</v>
      </c>
    </row>
    <row r="481" spans="1:6">
      <c r="A481" s="14" t="str">
        <f ca="1">Start.listina!AA73</f>
        <v/>
      </c>
      <c r="B481" s="227" t="str">
        <f ca="1">Start.listina!AB73</f>
        <v xml:space="preserve"> </v>
      </c>
      <c r="C481" s="14" t="str">
        <f ca="1">Start.listina!AC73</f>
        <v xml:space="preserve"> </v>
      </c>
      <c r="D481" s="14" t="str">
        <f ca="1">Start.listina!AD73</f>
        <v xml:space="preserve"> </v>
      </c>
      <c r="E481" s="14">
        <f ca="1">Start.listina!AE73</f>
        <v>9999</v>
      </c>
      <c r="F481" s="14">
        <f ca="1">Start.listina!AF73</f>
        <v>0</v>
      </c>
    </row>
    <row r="482" spans="1:6">
      <c r="A482" s="14" t="str">
        <f ca="1">Start.listina!AA74</f>
        <v/>
      </c>
      <c r="B482" s="227" t="str">
        <f ca="1">Start.listina!AB74</f>
        <v xml:space="preserve"> </v>
      </c>
      <c r="C482" s="14" t="str">
        <f ca="1">Start.listina!AC74</f>
        <v xml:space="preserve"> </v>
      </c>
      <c r="D482" s="14" t="str">
        <f ca="1">Start.listina!AD74</f>
        <v xml:space="preserve"> </v>
      </c>
      <c r="E482" s="14">
        <f ca="1">Start.listina!AE74</f>
        <v>9999</v>
      </c>
      <c r="F482" s="14">
        <f ca="1">Start.listina!AF74</f>
        <v>0</v>
      </c>
    </row>
    <row r="483" spans="1:6">
      <c r="A483" s="14" t="str">
        <f ca="1">Start.listina!AA75</f>
        <v/>
      </c>
      <c r="B483" s="227" t="str">
        <f ca="1">Start.listina!AB75</f>
        <v xml:space="preserve"> </v>
      </c>
      <c r="C483" s="14" t="str">
        <f ca="1">Start.listina!AC75</f>
        <v xml:space="preserve"> </v>
      </c>
      <c r="D483" s="14" t="str">
        <f ca="1">Start.listina!AD75</f>
        <v xml:space="preserve"> </v>
      </c>
      <c r="E483" s="14">
        <f ca="1">Start.listina!AE75</f>
        <v>9999</v>
      </c>
      <c r="F483" s="14">
        <f ca="1">Start.listina!AF75</f>
        <v>0</v>
      </c>
    </row>
    <row r="484" spans="1:6">
      <c r="A484" s="14" t="str">
        <f ca="1">Start.listina!AA76</f>
        <v/>
      </c>
      <c r="B484" s="227" t="str">
        <f ca="1">Start.listina!AB76</f>
        <v xml:space="preserve"> </v>
      </c>
      <c r="C484" s="14" t="str">
        <f ca="1">Start.listina!AC76</f>
        <v xml:space="preserve"> </v>
      </c>
      <c r="D484" s="14" t="str">
        <f ca="1">Start.listina!AD76</f>
        <v xml:space="preserve"> </v>
      </c>
      <c r="E484" s="14">
        <f ca="1">Start.listina!AE76</f>
        <v>9999</v>
      </c>
      <c r="F484" s="14">
        <f ca="1">Start.listina!AF76</f>
        <v>0</v>
      </c>
    </row>
    <row r="485" spans="1:6">
      <c r="A485" s="14" t="str">
        <f ca="1">Start.listina!AA77</f>
        <v/>
      </c>
      <c r="B485" s="227" t="str">
        <f ca="1">Start.listina!AB77</f>
        <v xml:space="preserve"> </v>
      </c>
      <c r="C485" s="14" t="str">
        <f ca="1">Start.listina!AC77</f>
        <v xml:space="preserve"> </v>
      </c>
      <c r="D485" s="14" t="str">
        <f ca="1">Start.listina!AD77</f>
        <v xml:space="preserve"> </v>
      </c>
      <c r="E485" s="14">
        <f ca="1">Start.listina!AE77</f>
        <v>9999</v>
      </c>
      <c r="F485" s="14">
        <f ca="1">Start.listina!AF77</f>
        <v>0</v>
      </c>
    </row>
    <row r="486" spans="1:6">
      <c r="A486" s="14" t="str">
        <f ca="1">Start.listina!AA78</f>
        <v/>
      </c>
      <c r="B486" s="227" t="str">
        <f ca="1">Start.listina!AB78</f>
        <v xml:space="preserve"> </v>
      </c>
      <c r="C486" s="14" t="str">
        <f ca="1">Start.listina!AC78</f>
        <v xml:space="preserve"> </v>
      </c>
      <c r="D486" s="14" t="str">
        <f ca="1">Start.listina!AD78</f>
        <v xml:space="preserve"> </v>
      </c>
      <c r="E486" s="14">
        <f ca="1">Start.listina!AE78</f>
        <v>9999</v>
      </c>
      <c r="F486" s="14">
        <f ca="1">Start.listina!AF78</f>
        <v>0</v>
      </c>
    </row>
    <row r="487" spans="1:6">
      <c r="A487" s="14" t="str">
        <f ca="1">Start.listina!AA79</f>
        <v/>
      </c>
      <c r="B487" s="227" t="str">
        <f ca="1">Start.listina!AB79</f>
        <v xml:space="preserve"> </v>
      </c>
      <c r="C487" s="14" t="str">
        <f ca="1">Start.listina!AC79</f>
        <v xml:space="preserve"> </v>
      </c>
      <c r="D487" s="14" t="str">
        <f ca="1">Start.listina!AD79</f>
        <v xml:space="preserve"> </v>
      </c>
      <c r="E487" s="14">
        <f ca="1">Start.listina!AE79</f>
        <v>9999</v>
      </c>
      <c r="F487" s="14">
        <f ca="1">Start.listina!AF79</f>
        <v>0</v>
      </c>
    </row>
    <row r="488" spans="1:6">
      <c r="A488" s="14" t="str">
        <f ca="1">Start.listina!AA80</f>
        <v/>
      </c>
      <c r="B488" s="227" t="str">
        <f ca="1">Start.listina!AB80</f>
        <v xml:space="preserve"> </v>
      </c>
      <c r="C488" s="14" t="str">
        <f ca="1">Start.listina!AC80</f>
        <v xml:space="preserve"> </v>
      </c>
      <c r="D488" s="14" t="str">
        <f ca="1">Start.listina!AD80</f>
        <v xml:space="preserve"> </v>
      </c>
      <c r="E488" s="14">
        <f ca="1">Start.listina!AE80</f>
        <v>9999</v>
      </c>
      <c r="F488" s="14">
        <f ca="1">Start.listina!AF80</f>
        <v>0</v>
      </c>
    </row>
    <row r="489" spans="1:6">
      <c r="A489" s="14" t="str">
        <f ca="1">Start.listina!AA81</f>
        <v/>
      </c>
      <c r="B489" s="227" t="str">
        <f ca="1">Start.listina!AB81</f>
        <v xml:space="preserve"> </v>
      </c>
      <c r="C489" s="14" t="str">
        <f ca="1">Start.listina!AC81</f>
        <v xml:space="preserve"> </v>
      </c>
      <c r="D489" s="14" t="str">
        <f ca="1">Start.listina!AD81</f>
        <v xml:space="preserve"> </v>
      </c>
      <c r="E489" s="14">
        <f ca="1">Start.listina!AE81</f>
        <v>9999</v>
      </c>
      <c r="F489" s="14">
        <f ca="1">Start.listina!AF81</f>
        <v>0</v>
      </c>
    </row>
    <row r="490" spans="1:6">
      <c r="A490" s="14" t="str">
        <f ca="1">Start.listina!AA82</f>
        <v/>
      </c>
      <c r="B490" s="227" t="str">
        <f ca="1">Start.listina!AB82</f>
        <v xml:space="preserve"> </v>
      </c>
      <c r="C490" s="14" t="str">
        <f ca="1">Start.listina!AC82</f>
        <v xml:space="preserve"> </v>
      </c>
      <c r="D490" s="14" t="str">
        <f ca="1">Start.listina!AD82</f>
        <v xml:space="preserve"> </v>
      </c>
      <c r="E490" s="14">
        <f ca="1">Start.listina!AE82</f>
        <v>9999</v>
      </c>
      <c r="F490" s="14">
        <f ca="1">Start.listina!AF82</f>
        <v>0</v>
      </c>
    </row>
    <row r="491" spans="1:6">
      <c r="A491" s="14" t="str">
        <f ca="1">Start.listina!AA83</f>
        <v/>
      </c>
      <c r="B491" s="227" t="str">
        <f ca="1">Start.listina!AB83</f>
        <v xml:space="preserve"> </v>
      </c>
      <c r="C491" s="14" t="str">
        <f ca="1">Start.listina!AC83</f>
        <v xml:space="preserve"> </v>
      </c>
      <c r="D491" s="14" t="str">
        <f ca="1">Start.listina!AD83</f>
        <v xml:space="preserve"> </v>
      </c>
      <c r="E491" s="14">
        <f ca="1">Start.listina!AE83</f>
        <v>9999</v>
      </c>
      <c r="F491" s="14">
        <f ca="1">Start.listina!AF83</f>
        <v>0</v>
      </c>
    </row>
    <row r="492" spans="1:6">
      <c r="A492" s="14" t="str">
        <f ca="1">Start.listina!AA84</f>
        <v/>
      </c>
      <c r="B492" s="227" t="str">
        <f ca="1">Start.listina!AB84</f>
        <v xml:space="preserve"> </v>
      </c>
      <c r="C492" s="14" t="str">
        <f ca="1">Start.listina!AC84</f>
        <v xml:space="preserve"> </v>
      </c>
      <c r="D492" s="14" t="str">
        <f ca="1">Start.listina!AD84</f>
        <v xml:space="preserve"> </v>
      </c>
      <c r="E492" s="14">
        <f ca="1">Start.listina!AE84</f>
        <v>9999</v>
      </c>
      <c r="F492" s="14">
        <f ca="1">Start.listina!AF84</f>
        <v>0</v>
      </c>
    </row>
    <row r="493" spans="1:6">
      <c r="A493" s="14" t="str">
        <f ca="1">Start.listina!AA85</f>
        <v/>
      </c>
      <c r="B493" s="227" t="str">
        <f ca="1">Start.listina!AB85</f>
        <v xml:space="preserve"> </v>
      </c>
      <c r="C493" s="14" t="str">
        <f ca="1">Start.listina!AC85</f>
        <v xml:space="preserve"> </v>
      </c>
      <c r="D493" s="14" t="str">
        <f ca="1">Start.listina!AD85</f>
        <v xml:space="preserve"> </v>
      </c>
      <c r="E493" s="14">
        <f ca="1">Start.listina!AE85</f>
        <v>9999</v>
      </c>
      <c r="F493" s="14">
        <f ca="1">Start.listina!AF85</f>
        <v>0</v>
      </c>
    </row>
    <row r="494" spans="1:6">
      <c r="A494" s="14" t="str">
        <f ca="1">Start.listina!AA86</f>
        <v/>
      </c>
      <c r="B494" s="227" t="str">
        <f ca="1">Start.listina!AB86</f>
        <v xml:space="preserve"> </v>
      </c>
      <c r="C494" s="14" t="str">
        <f ca="1">Start.listina!AC86</f>
        <v xml:space="preserve"> </v>
      </c>
      <c r="D494" s="14" t="str">
        <f ca="1">Start.listina!AD86</f>
        <v xml:space="preserve"> </v>
      </c>
      <c r="E494" s="14">
        <f ca="1">Start.listina!AE86</f>
        <v>9999</v>
      </c>
      <c r="F494" s="14">
        <f ca="1">Start.listina!AF86</f>
        <v>0</v>
      </c>
    </row>
    <row r="495" spans="1:6">
      <c r="A495" s="14" t="str">
        <f ca="1">Start.listina!AA87</f>
        <v/>
      </c>
      <c r="B495" s="227" t="str">
        <f ca="1">Start.listina!AB87</f>
        <v xml:space="preserve"> </v>
      </c>
      <c r="C495" s="14" t="str">
        <f ca="1">Start.listina!AC87</f>
        <v xml:space="preserve"> </v>
      </c>
      <c r="D495" s="14" t="str">
        <f ca="1">Start.listina!AD87</f>
        <v xml:space="preserve"> </v>
      </c>
      <c r="E495" s="14">
        <f ca="1">Start.listina!AE87</f>
        <v>9999</v>
      </c>
      <c r="F495" s="14">
        <f ca="1">Start.listina!AF87</f>
        <v>0</v>
      </c>
    </row>
    <row r="496" spans="1:6">
      <c r="A496" s="14" t="str">
        <f ca="1">Start.listina!AA88</f>
        <v/>
      </c>
      <c r="B496" s="227" t="str">
        <f ca="1">Start.listina!AB88</f>
        <v xml:space="preserve"> </v>
      </c>
      <c r="C496" s="14" t="str">
        <f ca="1">Start.listina!AC88</f>
        <v xml:space="preserve"> </v>
      </c>
      <c r="D496" s="14" t="str">
        <f ca="1">Start.listina!AD88</f>
        <v xml:space="preserve"> </v>
      </c>
      <c r="E496" s="14">
        <f ca="1">Start.listina!AE88</f>
        <v>9999</v>
      </c>
      <c r="F496" s="14">
        <f ca="1">Start.listina!AF88</f>
        <v>0</v>
      </c>
    </row>
    <row r="497" spans="1:6">
      <c r="A497" s="14" t="str">
        <f ca="1">Start.listina!AA89</f>
        <v/>
      </c>
      <c r="B497" s="227" t="str">
        <f ca="1">Start.listina!AB89</f>
        <v xml:space="preserve"> </v>
      </c>
      <c r="C497" s="14" t="str">
        <f ca="1">Start.listina!AC89</f>
        <v xml:space="preserve"> </v>
      </c>
      <c r="D497" s="14" t="str">
        <f ca="1">Start.listina!AD89</f>
        <v xml:space="preserve"> </v>
      </c>
      <c r="E497" s="14">
        <f ca="1">Start.listina!AE89</f>
        <v>9999</v>
      </c>
      <c r="F497" s="14">
        <f ca="1">Start.listina!AF89</f>
        <v>0</v>
      </c>
    </row>
    <row r="498" spans="1:6">
      <c r="A498" s="14" t="str">
        <f ca="1">Start.listina!AA90</f>
        <v/>
      </c>
      <c r="B498" s="227" t="str">
        <f ca="1">Start.listina!AB90</f>
        <v xml:space="preserve"> </v>
      </c>
      <c r="C498" s="14" t="str">
        <f ca="1">Start.listina!AC90</f>
        <v xml:space="preserve"> </v>
      </c>
      <c r="D498" s="14" t="str">
        <f ca="1">Start.listina!AD90</f>
        <v xml:space="preserve"> </v>
      </c>
      <c r="E498" s="14">
        <f ca="1">Start.listina!AE90</f>
        <v>9999</v>
      </c>
      <c r="F498" s="14">
        <f ca="1">Start.listina!AF90</f>
        <v>0</v>
      </c>
    </row>
    <row r="499" spans="1:6">
      <c r="A499" s="14" t="str">
        <f ca="1">Start.listina!AA91</f>
        <v/>
      </c>
      <c r="B499" s="227" t="str">
        <f ca="1">Start.listina!AB91</f>
        <v xml:space="preserve"> </v>
      </c>
      <c r="C499" s="14" t="str">
        <f ca="1">Start.listina!AC91</f>
        <v xml:space="preserve"> </v>
      </c>
      <c r="D499" s="14" t="str">
        <f ca="1">Start.listina!AD91</f>
        <v xml:space="preserve"> </v>
      </c>
      <c r="E499" s="14">
        <f ca="1">Start.listina!AE91</f>
        <v>9999</v>
      </c>
      <c r="F499" s="14">
        <f ca="1">Start.listina!AF91</f>
        <v>0</v>
      </c>
    </row>
    <row r="500" spans="1:6">
      <c r="A500" s="14" t="str">
        <f ca="1">Start.listina!AA92</f>
        <v/>
      </c>
      <c r="B500" s="227" t="str">
        <f ca="1">Start.listina!AB92</f>
        <v xml:space="preserve"> </v>
      </c>
      <c r="C500" s="14" t="str">
        <f ca="1">Start.listina!AC92</f>
        <v xml:space="preserve"> </v>
      </c>
      <c r="D500" s="14" t="str">
        <f ca="1">Start.listina!AD92</f>
        <v xml:space="preserve"> </v>
      </c>
      <c r="E500" s="14">
        <f ca="1">Start.listina!AE92</f>
        <v>9999</v>
      </c>
      <c r="F500" s="14">
        <f ca="1">Start.listina!AF92</f>
        <v>0</v>
      </c>
    </row>
    <row r="501" spans="1:6">
      <c r="A501" s="14" t="str">
        <f ca="1">Start.listina!AA93</f>
        <v/>
      </c>
      <c r="B501" s="227" t="str">
        <f ca="1">Start.listina!AB93</f>
        <v xml:space="preserve"> </v>
      </c>
      <c r="C501" s="14" t="str">
        <f ca="1">Start.listina!AC93</f>
        <v xml:space="preserve"> </v>
      </c>
      <c r="D501" s="14" t="str">
        <f ca="1">Start.listina!AD93</f>
        <v xml:space="preserve"> </v>
      </c>
      <c r="E501" s="14">
        <f ca="1">Start.listina!AE93</f>
        <v>9999</v>
      </c>
      <c r="F501" s="14">
        <f ca="1">Start.listina!AF93</f>
        <v>0</v>
      </c>
    </row>
    <row r="502" spans="1:6">
      <c r="A502" s="14" t="str">
        <f ca="1">Start.listina!AA94</f>
        <v/>
      </c>
      <c r="B502" s="227" t="str">
        <f ca="1">Start.listina!AB94</f>
        <v xml:space="preserve"> </v>
      </c>
      <c r="C502" s="14" t="str">
        <f ca="1">Start.listina!AC94</f>
        <v xml:space="preserve"> </v>
      </c>
      <c r="D502" s="14" t="str">
        <f ca="1">Start.listina!AD94</f>
        <v xml:space="preserve"> </v>
      </c>
      <c r="E502" s="14">
        <f ca="1">Start.listina!AE94</f>
        <v>9999</v>
      </c>
      <c r="F502" s="14">
        <f ca="1">Start.listina!AF94</f>
        <v>0</v>
      </c>
    </row>
    <row r="503" spans="1:6">
      <c r="A503" s="14" t="str">
        <f ca="1">Start.listina!AA95</f>
        <v/>
      </c>
      <c r="B503" s="227" t="str">
        <f ca="1">Start.listina!AB95</f>
        <v xml:space="preserve"> </v>
      </c>
      <c r="C503" s="14" t="str">
        <f ca="1">Start.listina!AC95</f>
        <v xml:space="preserve"> </v>
      </c>
      <c r="D503" s="14" t="str">
        <f ca="1">Start.listina!AD95</f>
        <v xml:space="preserve"> </v>
      </c>
      <c r="E503" s="14">
        <f ca="1">Start.listina!AE95</f>
        <v>9999</v>
      </c>
      <c r="F503" s="14">
        <f ca="1">Start.listina!AF95</f>
        <v>0</v>
      </c>
    </row>
    <row r="504" spans="1:6">
      <c r="A504" s="14" t="str">
        <f ca="1">Start.listina!AA96</f>
        <v/>
      </c>
      <c r="B504" s="227" t="str">
        <f ca="1">Start.listina!AB96</f>
        <v xml:space="preserve"> </v>
      </c>
      <c r="C504" s="14" t="str">
        <f ca="1">Start.listina!AC96</f>
        <v xml:space="preserve"> </v>
      </c>
      <c r="D504" s="14" t="str">
        <f ca="1">Start.listina!AD96</f>
        <v xml:space="preserve"> </v>
      </c>
      <c r="E504" s="14">
        <f ca="1">Start.listina!AE96</f>
        <v>9999</v>
      </c>
      <c r="F504" s="14">
        <f ca="1">Start.listina!AF96</f>
        <v>0</v>
      </c>
    </row>
    <row r="505" spans="1:6">
      <c r="A505" s="14" t="str">
        <f ca="1">Start.listina!AA97</f>
        <v/>
      </c>
      <c r="B505" s="227" t="str">
        <f ca="1">Start.listina!AB97</f>
        <v xml:space="preserve"> </v>
      </c>
      <c r="C505" s="14" t="str">
        <f ca="1">Start.listina!AC97</f>
        <v xml:space="preserve"> </v>
      </c>
      <c r="D505" s="14" t="str">
        <f ca="1">Start.listina!AD97</f>
        <v xml:space="preserve"> </v>
      </c>
      <c r="E505" s="14">
        <f ca="1">Start.listina!AE97</f>
        <v>9999</v>
      </c>
      <c r="F505" s="14">
        <f ca="1">Start.listina!AF97</f>
        <v>0</v>
      </c>
    </row>
    <row r="506" spans="1:6">
      <c r="A506" s="14" t="str">
        <f ca="1">Start.listina!AA98</f>
        <v/>
      </c>
      <c r="B506" s="227" t="str">
        <f ca="1">Start.listina!AB98</f>
        <v xml:space="preserve"> </v>
      </c>
      <c r="C506" s="14" t="str">
        <f ca="1">Start.listina!AC98</f>
        <v xml:space="preserve"> </v>
      </c>
      <c r="D506" s="14" t="str">
        <f ca="1">Start.listina!AD98</f>
        <v xml:space="preserve"> </v>
      </c>
      <c r="E506" s="14">
        <f ca="1">Start.listina!AE98</f>
        <v>9999</v>
      </c>
      <c r="F506" s="14">
        <f ca="1">Start.listina!AF98</f>
        <v>0</v>
      </c>
    </row>
    <row r="507" spans="1:6">
      <c r="A507" s="14" t="str">
        <f ca="1">Start.listina!AA99</f>
        <v/>
      </c>
      <c r="B507" s="227" t="str">
        <f ca="1">Start.listina!AB99</f>
        <v xml:space="preserve"> </v>
      </c>
      <c r="C507" s="14" t="str">
        <f ca="1">Start.listina!AC99</f>
        <v xml:space="preserve"> </v>
      </c>
      <c r="D507" s="14" t="str">
        <f ca="1">Start.listina!AD99</f>
        <v xml:space="preserve"> </v>
      </c>
      <c r="E507" s="14">
        <f ca="1">Start.listina!AE99</f>
        <v>9999</v>
      </c>
      <c r="F507" s="14">
        <f ca="1">Start.listina!AF99</f>
        <v>0</v>
      </c>
    </row>
    <row r="508" spans="1:6">
      <c r="A508" s="14" t="str">
        <f ca="1">Start.listina!AA100</f>
        <v/>
      </c>
      <c r="B508" s="227" t="str">
        <f ca="1">Start.listina!AB100</f>
        <v xml:space="preserve"> </v>
      </c>
      <c r="C508" s="14" t="str">
        <f ca="1">Start.listina!AC100</f>
        <v xml:space="preserve"> </v>
      </c>
      <c r="D508" s="14" t="str">
        <f ca="1">Start.listina!AD100</f>
        <v xml:space="preserve"> </v>
      </c>
      <c r="E508" s="14">
        <f ca="1">Start.listina!AE100</f>
        <v>9999</v>
      </c>
      <c r="F508" s="14">
        <f ca="1">Start.listina!AF100</f>
        <v>0</v>
      </c>
    </row>
    <row r="509" spans="1:6">
      <c r="A509" s="14" t="str">
        <f ca="1">Start.listina!AA101</f>
        <v/>
      </c>
      <c r="B509" s="227" t="str">
        <f ca="1">Start.listina!AB101</f>
        <v xml:space="preserve"> </v>
      </c>
      <c r="C509" s="14" t="str">
        <f ca="1">Start.listina!AC101</f>
        <v xml:space="preserve"> </v>
      </c>
      <c r="D509" s="14" t="str">
        <f ca="1">Start.listina!AD101</f>
        <v xml:space="preserve"> </v>
      </c>
      <c r="E509" s="14">
        <f ca="1">Start.listina!AE101</f>
        <v>9999</v>
      </c>
      <c r="F509" s="14">
        <f ca="1">Start.listina!AF101</f>
        <v>0</v>
      </c>
    </row>
    <row r="510" spans="1:6">
      <c r="A510" s="14" t="str">
        <f ca="1">Start.listina!AA102</f>
        <v/>
      </c>
      <c r="B510" s="227" t="str">
        <f ca="1">Start.listina!AB102</f>
        <v xml:space="preserve"> </v>
      </c>
      <c r="C510" s="14" t="str">
        <f ca="1">Start.listina!AC102</f>
        <v xml:space="preserve"> </v>
      </c>
      <c r="D510" s="14" t="str">
        <f ca="1">Start.listina!AD102</f>
        <v xml:space="preserve"> </v>
      </c>
      <c r="E510" s="14">
        <f ca="1">Start.listina!AE102</f>
        <v>9999</v>
      </c>
      <c r="F510" s="14">
        <f ca="1">Start.listina!AF102</f>
        <v>0</v>
      </c>
    </row>
    <row r="511" spans="1:6">
      <c r="A511" s="14" t="str">
        <f ca="1">Start.listina!AA103</f>
        <v/>
      </c>
      <c r="B511" s="227" t="str">
        <f ca="1">Start.listina!AB103</f>
        <v xml:space="preserve"> </v>
      </c>
      <c r="C511" s="14" t="str">
        <f ca="1">Start.listina!AC103</f>
        <v xml:space="preserve"> </v>
      </c>
      <c r="D511" s="14" t="str">
        <f ca="1">Start.listina!AD103</f>
        <v xml:space="preserve"> </v>
      </c>
      <c r="E511" s="14">
        <f ca="1">Start.listina!AE103</f>
        <v>9999</v>
      </c>
      <c r="F511" s="14">
        <f ca="1">Start.listina!AF103</f>
        <v>0</v>
      </c>
    </row>
    <row r="512" spans="1:6">
      <c r="A512" s="14" t="str">
        <f ca="1">Start.listina!AA104</f>
        <v/>
      </c>
      <c r="B512" s="227" t="str">
        <f ca="1">Start.listina!AB104</f>
        <v xml:space="preserve"> </v>
      </c>
      <c r="C512" s="14" t="str">
        <f ca="1">Start.listina!AC104</f>
        <v xml:space="preserve"> </v>
      </c>
      <c r="D512" s="14" t="str">
        <f ca="1">Start.listina!AD104</f>
        <v xml:space="preserve"> </v>
      </c>
      <c r="E512" s="14">
        <f ca="1">Start.listina!AE104</f>
        <v>9999</v>
      </c>
      <c r="F512" s="14">
        <f ca="1">Start.listina!AF104</f>
        <v>0</v>
      </c>
    </row>
    <row r="513" spans="1:6">
      <c r="A513" s="14" t="str">
        <f ca="1">Start.listina!AA105</f>
        <v/>
      </c>
      <c r="B513" s="227" t="str">
        <f ca="1">Start.listina!AB105</f>
        <v xml:space="preserve"> </v>
      </c>
      <c r="C513" s="14" t="str">
        <f ca="1">Start.listina!AC105</f>
        <v xml:space="preserve"> </v>
      </c>
      <c r="D513" s="14" t="str">
        <f ca="1">Start.listina!AD105</f>
        <v xml:space="preserve"> </v>
      </c>
      <c r="E513" s="14">
        <f ca="1">Start.listina!AE105</f>
        <v>9999</v>
      </c>
      <c r="F513" s="14">
        <f ca="1">Start.listina!AF105</f>
        <v>0</v>
      </c>
    </row>
    <row r="514" spans="1:6">
      <c r="A514" s="14" t="str">
        <f ca="1">Start.listina!AA106</f>
        <v/>
      </c>
      <c r="B514" s="227" t="str">
        <f ca="1">Start.listina!AB106</f>
        <v xml:space="preserve"> </v>
      </c>
      <c r="C514" s="14" t="str">
        <f ca="1">Start.listina!AC106</f>
        <v xml:space="preserve"> </v>
      </c>
      <c r="D514" s="14" t="str">
        <f ca="1">Start.listina!AD106</f>
        <v xml:space="preserve"> </v>
      </c>
      <c r="E514" s="14">
        <f ca="1">Start.listina!AE106</f>
        <v>9999</v>
      </c>
      <c r="F514" s="14">
        <f ca="1">Start.listina!AF106</f>
        <v>0</v>
      </c>
    </row>
    <row r="515" spans="1:6">
      <c r="A515" s="14" t="str">
        <f ca="1">Start.listina!AA107</f>
        <v/>
      </c>
      <c r="B515" s="227" t="str">
        <f ca="1">Start.listina!AB107</f>
        <v xml:space="preserve"> </v>
      </c>
      <c r="C515" s="14" t="str">
        <f ca="1">Start.listina!AC107</f>
        <v xml:space="preserve"> </v>
      </c>
      <c r="D515" s="14" t="str">
        <f ca="1">Start.listina!AD107</f>
        <v xml:space="preserve"> </v>
      </c>
      <c r="E515" s="14">
        <f ca="1">Start.listina!AE107</f>
        <v>9999</v>
      </c>
      <c r="F515" s="14">
        <f ca="1">Start.listina!AF107</f>
        <v>0</v>
      </c>
    </row>
    <row r="516" spans="1:6">
      <c r="A516" s="14" t="str">
        <f ca="1">Start.listina!AA108</f>
        <v/>
      </c>
      <c r="B516" s="227" t="str">
        <f ca="1">Start.listina!AB108</f>
        <v xml:space="preserve"> </v>
      </c>
      <c r="C516" s="14" t="str">
        <f ca="1">Start.listina!AC108</f>
        <v xml:space="preserve"> </v>
      </c>
      <c r="D516" s="14" t="str">
        <f ca="1">Start.listina!AD108</f>
        <v xml:space="preserve"> </v>
      </c>
      <c r="E516" s="14">
        <f ca="1">Start.listina!AE108</f>
        <v>9999</v>
      </c>
      <c r="F516" s="14">
        <f ca="1">Start.listina!AF108</f>
        <v>0</v>
      </c>
    </row>
    <row r="517" spans="1:6">
      <c r="A517" s="14" t="str">
        <f ca="1">Start.listina!AA109</f>
        <v/>
      </c>
      <c r="B517" s="227" t="str">
        <f ca="1">Start.listina!AB109</f>
        <v xml:space="preserve"> </v>
      </c>
      <c r="C517" s="14" t="str">
        <f ca="1">Start.listina!AC109</f>
        <v xml:space="preserve"> </v>
      </c>
      <c r="D517" s="14" t="str">
        <f ca="1">Start.listina!AD109</f>
        <v xml:space="preserve"> </v>
      </c>
      <c r="E517" s="14">
        <f ca="1">Start.listina!AE109</f>
        <v>9999</v>
      </c>
      <c r="F517" s="14">
        <f ca="1">Start.listina!AF109</f>
        <v>0</v>
      </c>
    </row>
    <row r="518" spans="1:6">
      <c r="A518" s="14" t="str">
        <f ca="1">Start.listina!AA110</f>
        <v/>
      </c>
      <c r="B518" s="227" t="str">
        <f ca="1">Start.listina!AB110</f>
        <v xml:space="preserve"> </v>
      </c>
      <c r="C518" s="14" t="str">
        <f ca="1">Start.listina!AC110</f>
        <v xml:space="preserve"> </v>
      </c>
      <c r="D518" s="14" t="str">
        <f ca="1">Start.listina!AD110</f>
        <v xml:space="preserve"> </v>
      </c>
      <c r="E518" s="14">
        <f ca="1">Start.listina!AE110</f>
        <v>9999</v>
      </c>
      <c r="F518" s="14">
        <f ca="1">Start.listina!AF110</f>
        <v>0</v>
      </c>
    </row>
    <row r="519" spans="1:6">
      <c r="A519" s="14" t="str">
        <f ca="1">Start.listina!AA111</f>
        <v/>
      </c>
      <c r="B519" s="227" t="str">
        <f ca="1">Start.listina!AB111</f>
        <v xml:space="preserve"> </v>
      </c>
      <c r="C519" s="14" t="str">
        <f ca="1">Start.listina!AC111</f>
        <v xml:space="preserve"> </v>
      </c>
      <c r="D519" s="14" t="str">
        <f ca="1">Start.listina!AD111</f>
        <v xml:space="preserve"> </v>
      </c>
      <c r="E519" s="14">
        <f ca="1">Start.listina!AE111</f>
        <v>9999</v>
      </c>
      <c r="F519" s="14">
        <f ca="1">Start.listina!AF111</f>
        <v>0</v>
      </c>
    </row>
    <row r="520" spans="1:6">
      <c r="A520" s="14" t="str">
        <f ca="1">Start.listina!AA112</f>
        <v/>
      </c>
      <c r="B520" s="227" t="str">
        <f ca="1">Start.listina!AB112</f>
        <v xml:space="preserve"> </v>
      </c>
      <c r="C520" s="14" t="str">
        <f ca="1">Start.listina!AC112</f>
        <v xml:space="preserve"> </v>
      </c>
      <c r="D520" s="14" t="str">
        <f ca="1">Start.listina!AD112</f>
        <v xml:space="preserve"> </v>
      </c>
      <c r="E520" s="14">
        <f ca="1">Start.listina!AE112</f>
        <v>9999</v>
      </c>
      <c r="F520" s="14">
        <f ca="1">Start.listina!AF112</f>
        <v>0</v>
      </c>
    </row>
    <row r="521" spans="1:6">
      <c r="A521" s="14" t="str">
        <f ca="1">Start.listina!AA113</f>
        <v/>
      </c>
      <c r="B521" s="227" t="str">
        <f ca="1">Start.listina!AB113</f>
        <v xml:space="preserve"> </v>
      </c>
      <c r="C521" s="14" t="str">
        <f ca="1">Start.listina!AC113</f>
        <v xml:space="preserve"> </v>
      </c>
      <c r="D521" s="14" t="str">
        <f ca="1">Start.listina!AD113</f>
        <v xml:space="preserve"> </v>
      </c>
      <c r="E521" s="14">
        <f ca="1">Start.listina!AE113</f>
        <v>9999</v>
      </c>
      <c r="F521" s="14">
        <f ca="1">Start.listina!AF113</f>
        <v>0</v>
      </c>
    </row>
    <row r="522" spans="1:6">
      <c r="A522" s="14" t="str">
        <f ca="1">Start.listina!AA114</f>
        <v/>
      </c>
      <c r="B522" s="227" t="str">
        <f ca="1">Start.listina!AB114</f>
        <v xml:space="preserve"> </v>
      </c>
      <c r="C522" s="14" t="str">
        <f ca="1">Start.listina!AC114</f>
        <v xml:space="preserve"> </v>
      </c>
      <c r="D522" s="14" t="str">
        <f ca="1">Start.listina!AD114</f>
        <v xml:space="preserve"> </v>
      </c>
      <c r="E522" s="14">
        <f ca="1">Start.listina!AE114</f>
        <v>9999</v>
      </c>
      <c r="F522" s="14">
        <f ca="1">Start.listina!AF114</f>
        <v>0</v>
      </c>
    </row>
    <row r="523" spans="1:6">
      <c r="A523" s="14" t="str">
        <f ca="1">Start.listina!AA115</f>
        <v/>
      </c>
      <c r="B523" s="227" t="str">
        <f ca="1">Start.listina!AB115</f>
        <v xml:space="preserve"> </v>
      </c>
      <c r="C523" s="14" t="str">
        <f ca="1">Start.listina!AC115</f>
        <v xml:space="preserve"> </v>
      </c>
      <c r="D523" s="14" t="str">
        <f ca="1">Start.listina!AD115</f>
        <v xml:space="preserve"> </v>
      </c>
      <c r="E523" s="14">
        <f ca="1">Start.listina!AE115</f>
        <v>9999</v>
      </c>
      <c r="F523" s="14">
        <f ca="1">Start.listina!AF115</f>
        <v>0</v>
      </c>
    </row>
    <row r="524" spans="1:6">
      <c r="A524" s="14" t="str">
        <f ca="1">Start.listina!AA116</f>
        <v/>
      </c>
      <c r="B524" s="227" t="str">
        <f ca="1">Start.listina!AB116</f>
        <v xml:space="preserve"> </v>
      </c>
      <c r="C524" s="14" t="str">
        <f ca="1">Start.listina!AC116</f>
        <v xml:space="preserve"> </v>
      </c>
      <c r="D524" s="14" t="str">
        <f ca="1">Start.listina!AD116</f>
        <v xml:space="preserve"> </v>
      </c>
      <c r="E524" s="14">
        <f ca="1">Start.listina!AE116</f>
        <v>9999</v>
      </c>
      <c r="F524" s="14">
        <f ca="1">Start.listina!AF116</f>
        <v>0</v>
      </c>
    </row>
    <row r="525" spans="1:6">
      <c r="A525" s="14" t="str">
        <f ca="1">Start.listina!AA117</f>
        <v/>
      </c>
      <c r="B525" s="227" t="str">
        <f ca="1">Start.listina!AB117</f>
        <v xml:space="preserve"> </v>
      </c>
      <c r="C525" s="14" t="str">
        <f ca="1">Start.listina!AC117</f>
        <v xml:space="preserve"> </v>
      </c>
      <c r="D525" s="14" t="str">
        <f ca="1">Start.listina!AD117</f>
        <v xml:space="preserve"> </v>
      </c>
      <c r="E525" s="14">
        <f ca="1">Start.listina!AE117</f>
        <v>9999</v>
      </c>
      <c r="F525" s="14">
        <f ca="1">Start.listina!AF117</f>
        <v>0</v>
      </c>
    </row>
    <row r="526" spans="1:6">
      <c r="A526" s="14" t="str">
        <f ca="1">Start.listina!AA118</f>
        <v/>
      </c>
      <c r="B526" s="227" t="str">
        <f ca="1">Start.listina!AB118</f>
        <v xml:space="preserve"> </v>
      </c>
      <c r="C526" s="14" t="str">
        <f ca="1">Start.listina!AC118</f>
        <v xml:space="preserve"> </v>
      </c>
      <c r="D526" s="14" t="str">
        <f ca="1">Start.listina!AD118</f>
        <v xml:space="preserve"> </v>
      </c>
      <c r="E526" s="14">
        <f ca="1">Start.listina!AE118</f>
        <v>9999</v>
      </c>
      <c r="F526" s="14">
        <f ca="1">Start.listina!AF118</f>
        <v>0</v>
      </c>
    </row>
    <row r="527" spans="1:6">
      <c r="A527" s="14" t="str">
        <f ca="1">Start.listina!AA119</f>
        <v/>
      </c>
      <c r="B527" s="227" t="str">
        <f ca="1">Start.listina!AB119</f>
        <v xml:space="preserve"> </v>
      </c>
      <c r="C527" s="14" t="str">
        <f ca="1">Start.listina!AC119</f>
        <v xml:space="preserve"> </v>
      </c>
      <c r="D527" s="14" t="str">
        <f ca="1">Start.listina!AD119</f>
        <v xml:space="preserve"> </v>
      </c>
      <c r="E527" s="14">
        <f ca="1">Start.listina!AE119</f>
        <v>9999</v>
      </c>
      <c r="F527" s="14">
        <f ca="1">Start.listina!AF119</f>
        <v>0</v>
      </c>
    </row>
    <row r="528" spans="1:6">
      <c r="A528" s="14" t="str">
        <f ca="1">Start.listina!AA120</f>
        <v/>
      </c>
      <c r="B528" s="227" t="str">
        <f ca="1">Start.listina!AB120</f>
        <v xml:space="preserve"> </v>
      </c>
      <c r="C528" s="14" t="str">
        <f ca="1">Start.listina!AC120</f>
        <v xml:space="preserve"> </v>
      </c>
      <c r="D528" s="14" t="str">
        <f ca="1">Start.listina!AD120</f>
        <v xml:space="preserve"> </v>
      </c>
      <c r="E528" s="14">
        <f ca="1">Start.listina!AE120</f>
        <v>9999</v>
      </c>
      <c r="F528" s="14">
        <f ca="1">Start.listina!AF120</f>
        <v>0</v>
      </c>
    </row>
    <row r="529" spans="1:6">
      <c r="A529" s="14" t="str">
        <f ca="1">Start.listina!AA121</f>
        <v/>
      </c>
      <c r="B529" s="227" t="str">
        <f ca="1">Start.listina!AB121</f>
        <v xml:space="preserve"> </v>
      </c>
      <c r="C529" s="14" t="str">
        <f ca="1">Start.listina!AC121</f>
        <v xml:space="preserve"> </v>
      </c>
      <c r="D529" s="14" t="str">
        <f ca="1">Start.listina!AD121</f>
        <v xml:space="preserve"> </v>
      </c>
      <c r="E529" s="14">
        <f ca="1">Start.listina!AE121</f>
        <v>9999</v>
      </c>
      <c r="F529" s="14">
        <f ca="1">Start.listina!AF121</f>
        <v>0</v>
      </c>
    </row>
    <row r="530" spans="1:6">
      <c r="A530" s="14" t="str">
        <f ca="1">Start.listina!AA122</f>
        <v/>
      </c>
      <c r="B530" s="227" t="str">
        <f ca="1">Start.listina!AB122</f>
        <v xml:space="preserve"> </v>
      </c>
      <c r="C530" s="14" t="str">
        <f ca="1">Start.listina!AC122</f>
        <v xml:space="preserve"> </v>
      </c>
      <c r="D530" s="14" t="str">
        <f ca="1">Start.listina!AD122</f>
        <v xml:space="preserve"> </v>
      </c>
      <c r="E530" s="14">
        <f ca="1">Start.listina!AE122</f>
        <v>9999</v>
      </c>
      <c r="F530" s="14">
        <f ca="1">Start.listina!AF122</f>
        <v>0</v>
      </c>
    </row>
    <row r="531" spans="1:6">
      <c r="A531" s="14" t="str">
        <f ca="1">Start.listina!AA123</f>
        <v/>
      </c>
      <c r="B531" s="227" t="str">
        <f ca="1">Start.listina!AB123</f>
        <v xml:space="preserve"> </v>
      </c>
      <c r="C531" s="14" t="str">
        <f ca="1">Start.listina!AC123</f>
        <v xml:space="preserve"> </v>
      </c>
      <c r="D531" s="14" t="str">
        <f ca="1">Start.listina!AD123</f>
        <v xml:space="preserve"> </v>
      </c>
      <c r="E531" s="14">
        <f ca="1">Start.listina!AE123</f>
        <v>9999</v>
      </c>
      <c r="F531" s="14">
        <f ca="1">Start.listina!AF123</f>
        <v>0</v>
      </c>
    </row>
    <row r="532" spans="1:6">
      <c r="A532" s="14" t="str">
        <f ca="1">Start.listina!AA124</f>
        <v/>
      </c>
      <c r="B532" s="227" t="str">
        <f ca="1">Start.listina!AB124</f>
        <v xml:space="preserve"> </v>
      </c>
      <c r="C532" s="14" t="str">
        <f ca="1">Start.listina!AC124</f>
        <v xml:space="preserve"> </v>
      </c>
      <c r="D532" s="14" t="str">
        <f ca="1">Start.listina!AD124</f>
        <v xml:space="preserve"> </v>
      </c>
      <c r="E532" s="14">
        <f ca="1">Start.listina!AE124</f>
        <v>9999</v>
      </c>
      <c r="F532" s="14">
        <f ca="1">Start.listina!AF124</f>
        <v>0</v>
      </c>
    </row>
    <row r="533" spans="1:6">
      <c r="A533" s="14" t="str">
        <f ca="1">Start.listina!AA125</f>
        <v/>
      </c>
      <c r="B533" s="227" t="str">
        <f ca="1">Start.listina!AB125</f>
        <v xml:space="preserve"> </v>
      </c>
      <c r="C533" s="14" t="str">
        <f ca="1">Start.listina!AC125</f>
        <v xml:space="preserve"> </v>
      </c>
      <c r="D533" s="14" t="str">
        <f ca="1">Start.listina!AD125</f>
        <v xml:space="preserve"> </v>
      </c>
      <c r="E533" s="14">
        <f ca="1">Start.listina!AE125</f>
        <v>9999</v>
      </c>
      <c r="F533" s="14">
        <f ca="1">Start.listina!AF125</f>
        <v>0</v>
      </c>
    </row>
    <row r="534" spans="1:6">
      <c r="A534" s="14" t="str">
        <f ca="1">Start.listina!AA126</f>
        <v/>
      </c>
      <c r="B534" s="227" t="str">
        <f ca="1">Start.listina!AB126</f>
        <v xml:space="preserve"> </v>
      </c>
      <c r="C534" s="14" t="str">
        <f ca="1">Start.listina!AC126</f>
        <v xml:space="preserve"> </v>
      </c>
      <c r="D534" s="14" t="str">
        <f ca="1">Start.listina!AD126</f>
        <v xml:space="preserve"> </v>
      </c>
      <c r="E534" s="14">
        <f ca="1">Start.listina!AE126</f>
        <v>9999</v>
      </c>
      <c r="F534" s="14">
        <f ca="1">Start.listina!AF126</f>
        <v>0</v>
      </c>
    </row>
    <row r="535" spans="1:6">
      <c r="A535" s="14" t="str">
        <f ca="1">Start.listina!AA127</f>
        <v/>
      </c>
      <c r="B535" s="227" t="str">
        <f ca="1">Start.listina!AB127</f>
        <v xml:space="preserve"> </v>
      </c>
      <c r="C535" s="14" t="str">
        <f ca="1">Start.listina!AC127</f>
        <v xml:space="preserve"> </v>
      </c>
      <c r="D535" s="14" t="str">
        <f ca="1">Start.listina!AD127</f>
        <v xml:space="preserve"> </v>
      </c>
      <c r="E535" s="14">
        <f ca="1">Start.listina!AE127</f>
        <v>9999</v>
      </c>
      <c r="F535" s="14">
        <f ca="1">Start.listina!AF127</f>
        <v>0</v>
      </c>
    </row>
    <row r="536" spans="1:6">
      <c r="A536" s="14" t="str">
        <f ca="1">Start.listina!AA128</f>
        <v/>
      </c>
      <c r="B536" s="227" t="str">
        <f ca="1">Start.listina!AB128</f>
        <v xml:space="preserve"> </v>
      </c>
      <c r="C536" s="14" t="str">
        <f ca="1">Start.listina!AC128</f>
        <v xml:space="preserve"> </v>
      </c>
      <c r="D536" s="14" t="str">
        <f ca="1">Start.listina!AD128</f>
        <v xml:space="preserve"> </v>
      </c>
      <c r="E536" s="14">
        <f ca="1">Start.listina!AE128</f>
        <v>9999</v>
      </c>
      <c r="F536" s="14">
        <f ca="1">Start.listina!AF128</f>
        <v>0</v>
      </c>
    </row>
    <row r="537" spans="1:6">
      <c r="A537" s="14" t="str">
        <f ca="1">Start.listina!AA129</f>
        <v/>
      </c>
      <c r="B537" s="227" t="str">
        <f ca="1">Start.listina!AB129</f>
        <v xml:space="preserve"> </v>
      </c>
      <c r="C537" s="14" t="str">
        <f ca="1">Start.listina!AC129</f>
        <v xml:space="preserve"> </v>
      </c>
      <c r="D537" s="14" t="str">
        <f ca="1">Start.listina!AD129</f>
        <v xml:space="preserve"> </v>
      </c>
      <c r="E537" s="14">
        <f ca="1">Start.listina!AE129</f>
        <v>9999</v>
      </c>
      <c r="F537" s="14">
        <f ca="1">Start.listina!AF129</f>
        <v>0</v>
      </c>
    </row>
    <row r="538" spans="1:6">
      <c r="A538" s="14" t="str">
        <f ca="1">Start.listina!AA130</f>
        <v/>
      </c>
      <c r="B538" s="227" t="str">
        <f ca="1">Start.listina!AB130</f>
        <v xml:space="preserve"> </v>
      </c>
      <c r="C538" s="14" t="str">
        <f ca="1">Start.listina!AC130</f>
        <v xml:space="preserve"> </v>
      </c>
      <c r="D538" s="14" t="str">
        <f ca="1">Start.listina!AD130</f>
        <v xml:space="preserve"> </v>
      </c>
      <c r="E538" s="14">
        <f ca="1">Start.listina!AE130</f>
        <v>9999</v>
      </c>
      <c r="F538" s="14">
        <f ca="1">Start.listina!AF130</f>
        <v>0</v>
      </c>
    </row>
    <row r="539" spans="1:6">
      <c r="A539" s="14" t="str">
        <f ca="1">Start.listina!AA131</f>
        <v/>
      </c>
      <c r="B539" s="227" t="str">
        <f ca="1">Start.listina!AB131</f>
        <v xml:space="preserve"> </v>
      </c>
      <c r="C539" s="14" t="str">
        <f ca="1">Start.listina!AC131</f>
        <v xml:space="preserve"> </v>
      </c>
      <c r="D539" s="14" t="str">
        <f ca="1">Start.listina!AD131</f>
        <v xml:space="preserve"> </v>
      </c>
      <c r="E539" s="14">
        <f ca="1">Start.listina!AE131</f>
        <v>9999</v>
      </c>
      <c r="F539" s="14">
        <f ca="1">Start.listina!AF131</f>
        <v>0</v>
      </c>
    </row>
    <row r="540" spans="1:6">
      <c r="A540" s="14" t="str">
        <f ca="1">Start.listina!AA132</f>
        <v/>
      </c>
      <c r="B540" s="227" t="str">
        <f ca="1">Start.listina!AB132</f>
        <v xml:space="preserve"> </v>
      </c>
      <c r="C540" s="14" t="str">
        <f ca="1">Start.listina!AC132</f>
        <v xml:space="preserve"> </v>
      </c>
      <c r="D540" s="14" t="str">
        <f ca="1">Start.listina!AD132</f>
        <v xml:space="preserve"> </v>
      </c>
      <c r="E540" s="14">
        <f ca="1">Start.listina!AE132</f>
        <v>9999</v>
      </c>
      <c r="F540" s="14">
        <f ca="1">Start.listina!AF132</f>
        <v>0</v>
      </c>
    </row>
    <row r="541" spans="1:6">
      <c r="A541" s="14" t="str">
        <f ca="1">Start.listina!AA133</f>
        <v/>
      </c>
      <c r="B541" s="227" t="str">
        <f ca="1">Start.listina!AB133</f>
        <v xml:space="preserve"> </v>
      </c>
      <c r="C541" s="14" t="str">
        <f ca="1">Start.listina!AC133</f>
        <v xml:space="preserve"> </v>
      </c>
      <c r="D541" s="14" t="str">
        <f ca="1">Start.listina!AD133</f>
        <v xml:space="preserve"> </v>
      </c>
      <c r="E541" s="14">
        <f ca="1">Start.listina!AE133</f>
        <v>9999</v>
      </c>
      <c r="F541" s="14">
        <f ca="1">Start.listina!AF133</f>
        <v>0</v>
      </c>
    </row>
    <row r="542" spans="1:6">
      <c r="A542" s="14" t="str">
        <f ca="1">Start.listina!AA134</f>
        <v/>
      </c>
      <c r="B542" s="227" t="str">
        <f ca="1">Start.listina!AB134</f>
        <v xml:space="preserve"> </v>
      </c>
      <c r="C542" s="14" t="str">
        <f ca="1">Start.listina!AC134</f>
        <v xml:space="preserve"> </v>
      </c>
      <c r="D542" s="14" t="str">
        <f ca="1">Start.listina!AD134</f>
        <v xml:space="preserve"> </v>
      </c>
      <c r="E542" s="14">
        <f ca="1">Start.listina!AE134</f>
        <v>9999</v>
      </c>
      <c r="F542" s="14">
        <f ca="1">Start.listina!AF134</f>
        <v>0</v>
      </c>
    </row>
    <row r="543" spans="1:6">
      <c r="A543" s="14" t="str">
        <f ca="1">Start.listina!AA135</f>
        <v/>
      </c>
      <c r="B543" s="227" t="str">
        <f ca="1">Start.listina!AB135</f>
        <v xml:space="preserve"> </v>
      </c>
      <c r="C543" s="14" t="str">
        <f ca="1">Start.listina!AC135</f>
        <v xml:space="preserve"> </v>
      </c>
      <c r="D543" s="14" t="str">
        <f ca="1">Start.listina!AD135</f>
        <v xml:space="preserve"> </v>
      </c>
      <c r="E543" s="14">
        <f ca="1">Start.listina!AE135</f>
        <v>9999</v>
      </c>
      <c r="F543" s="14">
        <f ca="1">Start.listina!AF135</f>
        <v>0</v>
      </c>
    </row>
    <row r="544" spans="1:6">
      <c r="A544" s="14" t="str">
        <f ca="1">Start.listina!AA136</f>
        <v/>
      </c>
      <c r="B544" s="227" t="str">
        <f ca="1">Start.listina!AB136</f>
        <v xml:space="preserve"> </v>
      </c>
      <c r="C544" s="14" t="str">
        <f ca="1">Start.listina!AC136</f>
        <v xml:space="preserve"> </v>
      </c>
      <c r="D544" s="14" t="str">
        <f ca="1">Start.listina!AD136</f>
        <v xml:space="preserve"> </v>
      </c>
      <c r="E544" s="14">
        <f ca="1">Start.listina!AE136</f>
        <v>9999</v>
      </c>
      <c r="F544" s="14">
        <f ca="1">Start.listina!AF136</f>
        <v>0</v>
      </c>
    </row>
    <row r="545" spans="1:6">
      <c r="A545" s="14" t="str">
        <f ca="1">Start.listina!AA137</f>
        <v/>
      </c>
      <c r="B545" s="227" t="str">
        <f ca="1">Start.listina!AB137</f>
        <v xml:space="preserve"> </v>
      </c>
      <c r="C545" s="14" t="str">
        <f ca="1">Start.listina!AC137</f>
        <v xml:space="preserve"> </v>
      </c>
      <c r="D545" s="14" t="str">
        <f ca="1">Start.listina!AD137</f>
        <v xml:space="preserve"> </v>
      </c>
      <c r="E545" s="14">
        <f ca="1">Start.listina!AE137</f>
        <v>9999</v>
      </c>
      <c r="F545" s="14">
        <f ca="1">Start.listina!AF137</f>
        <v>0</v>
      </c>
    </row>
    <row r="546" spans="1:6">
      <c r="A546" s="14" t="str">
        <f ca="1">Start.listina!AA138</f>
        <v/>
      </c>
      <c r="B546" s="227" t="str">
        <f ca="1">Start.listina!AB138</f>
        <v xml:space="preserve"> </v>
      </c>
      <c r="C546" s="14" t="str">
        <f ca="1">Start.listina!AC138</f>
        <v xml:space="preserve"> </v>
      </c>
      <c r="D546" s="14" t="str">
        <f ca="1">Start.listina!AD138</f>
        <v xml:space="preserve"> </v>
      </c>
      <c r="E546" s="14">
        <f ca="1">Start.listina!AE138</f>
        <v>9999</v>
      </c>
      <c r="F546" s="14">
        <f ca="1">Start.listina!AF138</f>
        <v>0</v>
      </c>
    </row>
    <row r="547" spans="1:6">
      <c r="A547" s="14" t="str">
        <f ca="1">Start.listina!AA139</f>
        <v/>
      </c>
      <c r="B547" s="227" t="str">
        <f ca="1">Start.listina!AB139</f>
        <v xml:space="preserve"> </v>
      </c>
      <c r="C547" s="14" t="str">
        <f ca="1">Start.listina!AC139</f>
        <v xml:space="preserve"> </v>
      </c>
      <c r="D547" s="14" t="str">
        <f ca="1">Start.listina!AD139</f>
        <v xml:space="preserve"> </v>
      </c>
      <c r="E547" s="14">
        <f ca="1">Start.listina!AE139</f>
        <v>9999</v>
      </c>
      <c r="F547" s="14">
        <f ca="1">Start.listina!AF139</f>
        <v>0</v>
      </c>
    </row>
    <row r="548" spans="1:6">
      <c r="A548" s="14" t="str">
        <f ca="1">Start.listina!AA140</f>
        <v/>
      </c>
      <c r="B548" s="227" t="str">
        <f ca="1">Start.listina!AB140</f>
        <v xml:space="preserve"> </v>
      </c>
      <c r="C548" s="14" t="str">
        <f ca="1">Start.listina!AC140</f>
        <v xml:space="preserve"> </v>
      </c>
      <c r="D548" s="14" t="str">
        <f ca="1">Start.listina!AD140</f>
        <v xml:space="preserve"> </v>
      </c>
      <c r="E548" s="14">
        <f ca="1">Start.listina!AE140</f>
        <v>9999</v>
      </c>
      <c r="F548" s="14">
        <f ca="1">Start.listina!AF140</f>
        <v>0</v>
      </c>
    </row>
    <row r="549" spans="1:6">
      <c r="A549" s="14" t="str">
        <f ca="1">Start.listina!AA141</f>
        <v/>
      </c>
      <c r="B549" s="227" t="str">
        <f ca="1">Start.listina!AB141</f>
        <v xml:space="preserve"> </v>
      </c>
      <c r="C549" s="14" t="str">
        <f ca="1">Start.listina!AC141</f>
        <v xml:space="preserve"> </v>
      </c>
      <c r="D549" s="14" t="str">
        <f ca="1">Start.listina!AD141</f>
        <v xml:space="preserve"> </v>
      </c>
      <c r="E549" s="14">
        <f ca="1">Start.listina!AE141</f>
        <v>9999</v>
      </c>
      <c r="F549" s="14">
        <f ca="1">Start.listina!AF141</f>
        <v>0</v>
      </c>
    </row>
    <row r="550" spans="1:6">
      <c r="A550" s="14" t="str">
        <f ca="1">Start.listina!AA142</f>
        <v/>
      </c>
      <c r="B550" s="227" t="str">
        <f ca="1">Start.listina!AB142</f>
        <v xml:space="preserve"> </v>
      </c>
      <c r="C550" s="14" t="str">
        <f ca="1">Start.listina!AC142</f>
        <v xml:space="preserve"> </v>
      </c>
      <c r="D550" s="14" t="str">
        <f ca="1">Start.listina!AD142</f>
        <v xml:space="preserve"> </v>
      </c>
      <c r="E550" s="14">
        <f ca="1">Start.listina!AE142</f>
        <v>9999</v>
      </c>
      <c r="F550" s="14">
        <f ca="1">Start.listina!AF142</f>
        <v>0</v>
      </c>
    </row>
    <row r="551" spans="1:6">
      <c r="A551" s="14" t="str">
        <f ca="1">Start.listina!AA143</f>
        <v/>
      </c>
      <c r="B551" s="227" t="str">
        <f ca="1">Start.listina!AB143</f>
        <v xml:space="preserve"> </v>
      </c>
      <c r="C551" s="14" t="str">
        <f ca="1">Start.listina!AC143</f>
        <v xml:space="preserve"> </v>
      </c>
      <c r="D551" s="14" t="str">
        <f ca="1">Start.listina!AD143</f>
        <v xml:space="preserve"> </v>
      </c>
      <c r="E551" s="14">
        <f ca="1">Start.listina!AE143</f>
        <v>9999</v>
      </c>
      <c r="F551" s="14">
        <f ca="1">Start.listina!AF143</f>
        <v>0</v>
      </c>
    </row>
    <row r="552" spans="1:6">
      <c r="A552" s="14" t="str">
        <f ca="1">Start.listina!AA144</f>
        <v/>
      </c>
      <c r="B552" s="227" t="str">
        <f ca="1">Start.listina!AB144</f>
        <v xml:space="preserve"> </v>
      </c>
      <c r="C552" s="14" t="str">
        <f ca="1">Start.listina!AC144</f>
        <v xml:space="preserve"> </v>
      </c>
      <c r="D552" s="14" t="str">
        <f ca="1">Start.listina!AD144</f>
        <v xml:space="preserve"> </v>
      </c>
      <c r="E552" s="14">
        <f ca="1">Start.listina!AE144</f>
        <v>9999</v>
      </c>
      <c r="F552" s="14">
        <f ca="1">Start.listina!AF144</f>
        <v>0</v>
      </c>
    </row>
    <row r="553" spans="1:6">
      <c r="A553" s="14" t="str">
        <f ca="1">Start.listina!AA145</f>
        <v/>
      </c>
      <c r="B553" s="227" t="str">
        <f ca="1">Start.listina!AB145</f>
        <v xml:space="preserve"> </v>
      </c>
      <c r="C553" s="14" t="str">
        <f ca="1">Start.listina!AC145</f>
        <v xml:space="preserve"> </v>
      </c>
      <c r="D553" s="14" t="str">
        <f ca="1">Start.listina!AD145</f>
        <v xml:space="preserve"> </v>
      </c>
      <c r="E553" s="14">
        <f ca="1">Start.listina!AE145</f>
        <v>9999</v>
      </c>
      <c r="F553" s="14">
        <f ca="1">Start.listina!AF145</f>
        <v>0</v>
      </c>
    </row>
    <row r="554" spans="1:6">
      <c r="A554" s="14" t="str">
        <f ca="1">Start.listina!AA146</f>
        <v/>
      </c>
      <c r="B554" s="227" t="str">
        <f ca="1">Start.listina!AB146</f>
        <v xml:space="preserve"> </v>
      </c>
      <c r="C554" s="14" t="str">
        <f ca="1">Start.listina!AC146</f>
        <v xml:space="preserve"> </v>
      </c>
      <c r="D554" s="14" t="str">
        <f ca="1">Start.listina!AD146</f>
        <v xml:space="preserve"> </v>
      </c>
      <c r="E554" s="14">
        <f ca="1">Start.listina!AE146</f>
        <v>9999</v>
      </c>
      <c r="F554" s="14">
        <f ca="1">Start.listina!AF146</f>
        <v>0</v>
      </c>
    </row>
    <row r="555" spans="1:6">
      <c r="A555" s="14" t="str">
        <f ca="1">Start.listina!AA147</f>
        <v/>
      </c>
      <c r="B555" s="227" t="str">
        <f ca="1">Start.listina!AB147</f>
        <v xml:space="preserve"> </v>
      </c>
      <c r="C555" s="14" t="str">
        <f ca="1">Start.listina!AC147</f>
        <v xml:space="preserve"> </v>
      </c>
      <c r="D555" s="14" t="str">
        <f ca="1">Start.listina!AD147</f>
        <v xml:space="preserve"> </v>
      </c>
      <c r="E555" s="14">
        <f ca="1">Start.listina!AE147</f>
        <v>9999</v>
      </c>
      <c r="F555" s="14">
        <f ca="1">Start.listina!AF147</f>
        <v>0</v>
      </c>
    </row>
    <row r="556" spans="1:6">
      <c r="A556" s="14" t="str">
        <f ca="1">Start.listina!AA148</f>
        <v/>
      </c>
      <c r="B556" s="227" t="str">
        <f ca="1">Start.listina!AB148</f>
        <v xml:space="preserve"> </v>
      </c>
      <c r="C556" s="14" t="str">
        <f ca="1">Start.listina!AC148</f>
        <v xml:space="preserve"> </v>
      </c>
      <c r="D556" s="14" t="str">
        <f ca="1">Start.listina!AD148</f>
        <v xml:space="preserve"> </v>
      </c>
      <c r="E556" s="14">
        <f ca="1">Start.listina!AE148</f>
        <v>9999</v>
      </c>
      <c r="F556" s="14">
        <f ca="1">Start.listina!AF148</f>
        <v>0</v>
      </c>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87086</xdr:colOff>
                    <xdr:row>0</xdr:row>
                    <xdr:rowOff>97971</xdr:rowOff>
                  </from>
                  <to>
                    <xdr:col>6</xdr:col>
                    <xdr:colOff>1153886</xdr:colOff>
                    <xdr:row>1</xdr:row>
                    <xdr:rowOff>402771</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
  <cols>
    <col min="2" max="2" width="47.75" customWidth="1"/>
    <col min="3" max="3" width="2" hidden="1" customWidth="1"/>
  </cols>
  <sheetData>
    <row r="1" spans="1:43" ht="14.15">
      <c r="B1" s="169"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5" customHeight="1">
      <c r="A2" s="10" t="s">
        <v>78</v>
      </c>
      <c r="B2" s="10" t="s">
        <v>76</v>
      </c>
    </row>
    <row r="3" spans="1:43">
      <c r="A3" s="2" t="str">
        <f ca="1">Nasazení!B3</f>
        <v>A1</v>
      </c>
      <c r="B3" s="11" t="str">
        <f ca="1">Nasazení!C3</f>
        <v>1 Carreau Brno - Michálek Tomáš</v>
      </c>
      <c r="C3" t="str">
        <f t="shared" ref="C3:C34" ca="1" si="0">IF(T(A3)="","X"," ")</f>
        <v xml:space="preserve"> </v>
      </c>
    </row>
    <row r="4" spans="1:43">
      <c r="A4" s="2" t="str">
        <f ca="1">Nasazení!B18</f>
        <v>P1</v>
      </c>
      <c r="B4" s="11" t="str">
        <f ca="1">Nasazení!C18</f>
        <v>16 HAPEK - Bureš st. Pavel</v>
      </c>
      <c r="C4" t="str">
        <f t="shared" ca="1" si="0"/>
        <v xml:space="preserve"> </v>
      </c>
    </row>
    <row r="5" spans="1:43">
      <c r="A5" s="2" t="str">
        <f ca="1">Nasazení!B19</f>
        <v>P2</v>
      </c>
      <c r="B5" s="11" t="str">
        <f ca="1">Nasazení!C19</f>
        <v>17 SK Sahara Vědomice - Demčíková Jiřina</v>
      </c>
      <c r="C5" t="str">
        <f t="shared" ca="1" si="0"/>
        <v xml:space="preserve"> </v>
      </c>
    </row>
    <row r="6" spans="1:43">
      <c r="A6" s="2" t="str">
        <f ca="1">Nasazení!B34</f>
        <v>A2</v>
      </c>
      <c r="B6" s="11" t="str">
        <f ca="1">Nasazení!C34</f>
        <v>32 Petank Club Praha - Maňák Jan</v>
      </c>
      <c r="C6" t="str">
        <f t="shared" ca="1" si="0"/>
        <v xml:space="preserve"> </v>
      </c>
    </row>
    <row r="7" spans="1:43">
      <c r="A7" s="2" t="str">
        <f ca="1">Nasazení!B4</f>
        <v>B1</v>
      </c>
      <c r="B7" s="11" t="str">
        <f ca="1">Nasazení!C4</f>
        <v>2 PC Sokol Lipník - Froňková Kateřina</v>
      </c>
      <c r="C7" t="str">
        <f t="shared" ca="1" si="0"/>
        <v xml:space="preserve"> </v>
      </c>
    </row>
    <row r="8" spans="1:43">
      <c r="A8" s="2" t="str">
        <f ca="1">Nasazení!B17</f>
        <v>O1</v>
      </c>
      <c r="B8" s="11" t="str">
        <f ca="1">Nasazení!C17</f>
        <v>15 1. KPK Vrchlabí - Hančová Alice</v>
      </c>
      <c r="C8" t="str">
        <f t="shared" ca="1" si="0"/>
        <v xml:space="preserve"> </v>
      </c>
    </row>
    <row r="9" spans="1:43">
      <c r="A9" s="2" t="str">
        <f ca="1">Nasazení!B20</f>
        <v>O2</v>
      </c>
      <c r="B9" s="11" t="str">
        <f ca="1">Nasazení!C20</f>
        <v>18 1. KPK Vrchlabí - Brázda Vladimír</v>
      </c>
      <c r="C9" t="str">
        <f t="shared" ca="1" si="0"/>
        <v xml:space="preserve"> </v>
      </c>
    </row>
    <row r="10" spans="1:43">
      <c r="A10" s="2" t="str">
        <f ca="1">Nasazení!B33</f>
        <v>B2</v>
      </c>
      <c r="B10" s="11" t="str">
        <f ca="1">Nasazení!C33</f>
        <v>31 PC Mimo Done - Šídlová Lucie</v>
      </c>
      <c r="C10" t="str">
        <f t="shared" ca="1" si="0"/>
        <v xml:space="preserve"> </v>
      </c>
    </row>
    <row r="11" spans="1:43">
      <c r="A11" s="2" t="str">
        <f ca="1">Nasazení!B5</f>
        <v>C1</v>
      </c>
      <c r="B11" s="11" t="str">
        <f ca="1">Nasazení!C5</f>
        <v>3 PC Sokol Lipník - Konšel Jakub</v>
      </c>
      <c r="C11" t="str">
        <f t="shared" ca="1" si="0"/>
        <v xml:space="preserve"> </v>
      </c>
    </row>
    <row r="12" spans="1:43">
      <c r="A12" s="2" t="str">
        <f ca="1">Nasazení!B16</f>
        <v>N1</v>
      </c>
      <c r="B12" s="11" t="str">
        <f ca="1">Nasazení!C16</f>
        <v>14 PEK Stolín - Geislerová Veronika</v>
      </c>
      <c r="C12" t="str">
        <f t="shared" ca="1" si="0"/>
        <v xml:space="preserve"> </v>
      </c>
    </row>
    <row r="13" spans="1:43">
      <c r="A13" s="2" t="str">
        <f ca="1">Nasazení!B21</f>
        <v>N2</v>
      </c>
      <c r="B13" s="11" t="str">
        <f ca="1">Nasazení!C21</f>
        <v>19 SKP Hranice VI-Valšovice - Gratcl Jiří</v>
      </c>
      <c r="C13" t="str">
        <f t="shared" ca="1" si="0"/>
        <v xml:space="preserve"> </v>
      </c>
    </row>
    <row r="14" spans="1:43">
      <c r="A14" s="2" t="str">
        <f ca="1">Nasazení!B32</f>
        <v>C2</v>
      </c>
      <c r="B14" s="11" t="str">
        <f ca="1">Nasazení!C32</f>
        <v>30 SKP Kulová osma - Krejčín Leoš</v>
      </c>
      <c r="C14" t="str">
        <f t="shared" ca="1" si="0"/>
        <v xml:space="preserve"> </v>
      </c>
    </row>
    <row r="15" spans="1:43">
      <c r="A15" s="2" t="str">
        <f ca="1">Nasazení!B6</f>
        <v>D1</v>
      </c>
      <c r="B15" s="11" t="str">
        <f ca="1">Nasazení!C6</f>
        <v>4 CdP Loděnice - Resl Jan</v>
      </c>
      <c r="C15" t="str">
        <f t="shared" ca="1" si="0"/>
        <v xml:space="preserve"> </v>
      </c>
    </row>
    <row r="16" spans="1:43">
      <c r="A16" s="2" t="str">
        <f ca="1">Nasazení!B15</f>
        <v>M1</v>
      </c>
      <c r="B16" s="11" t="str">
        <f ca="1">Nasazení!C15</f>
        <v>13 PK Polouvsí - Valošek Radim</v>
      </c>
      <c r="C16" t="str">
        <f t="shared" ca="1" si="0"/>
        <v xml:space="preserve"> </v>
      </c>
    </row>
    <row r="17" spans="1:3">
      <c r="A17" s="2" t="str">
        <f ca="1">Nasazení!B22</f>
        <v>M2</v>
      </c>
      <c r="B17" s="11" t="str">
        <f ca="1">Nasazení!C22</f>
        <v>20 Carreau Brno - Pellizon Boris Alfred</v>
      </c>
      <c r="C17" t="str">
        <f t="shared" ca="1" si="0"/>
        <v xml:space="preserve"> </v>
      </c>
    </row>
    <row r="18" spans="1:3">
      <c r="A18" s="2" t="str">
        <f ca="1">Nasazení!B31</f>
        <v>D2</v>
      </c>
      <c r="B18" s="11" t="str">
        <f ca="1">Nasazení!C31</f>
        <v>29 Carreau Brno - Grepl Jiří</v>
      </c>
      <c r="C18" t="str">
        <f t="shared" ca="1" si="0"/>
        <v xml:space="preserve"> </v>
      </c>
    </row>
    <row r="19" spans="1:3">
      <c r="A19" s="2" t="str">
        <f ca="1">Nasazení!B7</f>
        <v>E1</v>
      </c>
      <c r="B19" s="11" t="str">
        <f ca="1">Nasazení!C7</f>
        <v>5 TOP - ORLOVÁ - Bačo David</v>
      </c>
      <c r="C19" t="str">
        <f t="shared" ca="1" si="0"/>
        <v xml:space="preserve"> </v>
      </c>
    </row>
    <row r="20" spans="1:3">
      <c r="A20" s="2" t="str">
        <f ca="1">Nasazení!B14</f>
        <v>L1</v>
      </c>
      <c r="B20" s="11" t="str">
        <f ca="1">Nasazení!C14</f>
        <v>12 Orel Řečkovice - Hanák Pavel</v>
      </c>
      <c r="C20" t="str">
        <f t="shared" ca="1" si="0"/>
        <v xml:space="preserve"> </v>
      </c>
    </row>
    <row r="21" spans="1:3">
      <c r="A21" s="2" t="str">
        <f ca="1">Nasazení!B23</f>
        <v>L2</v>
      </c>
      <c r="B21" s="11" t="str">
        <f ca="1">Nasazení!C23</f>
        <v>21 Carreau Brno - Ferlay Franck</v>
      </c>
      <c r="C21" t="str">
        <f t="shared" ca="1" si="0"/>
        <v xml:space="preserve"> </v>
      </c>
    </row>
    <row r="22" spans="1:3">
      <c r="A22" s="2" t="str">
        <f ca="1">Nasazení!B30</f>
        <v>E2</v>
      </c>
      <c r="B22" s="11" t="str">
        <f ca="1">Nasazení!C30</f>
        <v>28 Petank Club Praha - Kašparová Barbora</v>
      </c>
      <c r="C22" t="str">
        <f t="shared" ca="1" si="0"/>
        <v xml:space="preserve"> </v>
      </c>
    </row>
    <row r="23" spans="1:3">
      <c r="A23" s="2" t="str">
        <f ca="1">Nasazení!B8</f>
        <v>F1</v>
      </c>
      <c r="B23" s="11" t="str">
        <f ca="1">Nasazení!C8</f>
        <v>6 CdP Loděnice - Dlouhá Ivana</v>
      </c>
      <c r="C23" t="str">
        <f t="shared" ca="1" si="0"/>
        <v xml:space="preserve"> </v>
      </c>
    </row>
    <row r="24" spans="1:3">
      <c r="A24" s="2" t="str">
        <f ca="1">Nasazení!B13</f>
        <v>K1</v>
      </c>
      <c r="B24" s="11" t="str">
        <f ca="1">Nasazení!C13</f>
        <v>11 PC Damníkov - Brandes Michael</v>
      </c>
      <c r="C24" t="str">
        <f t="shared" ca="1" si="0"/>
        <v xml:space="preserve"> </v>
      </c>
    </row>
    <row r="25" spans="1:3">
      <c r="A25" s="2" t="str">
        <f ca="1">Nasazení!B24</f>
        <v>K2</v>
      </c>
      <c r="B25" s="11" t="str">
        <f ca="1">Nasazení!C24</f>
        <v>22 SK Sahara Vědomice - Sekerešová Jindřiška</v>
      </c>
      <c r="C25" t="str">
        <f t="shared" ca="1" si="0"/>
        <v xml:space="preserve"> </v>
      </c>
    </row>
    <row r="26" spans="1:3">
      <c r="A26" s="2" t="str">
        <f ca="1">Nasazení!B29</f>
        <v>F2</v>
      </c>
      <c r="B26" s="11" t="str">
        <f ca="1">Nasazení!C29</f>
        <v>27 1. KPK Vrchlabí - Kapeš Roman</v>
      </c>
      <c r="C26" t="str">
        <f t="shared" ca="1" si="0"/>
        <v xml:space="preserve"> </v>
      </c>
    </row>
    <row r="27" spans="1:3">
      <c r="A27" s="2" t="str">
        <f ca="1">Nasazení!B9</f>
        <v>G1</v>
      </c>
      <c r="B27" s="11" t="str">
        <f ca="1">Nasazení!C9</f>
        <v>7 HRODE KRUMSÍN - Motl Bohuslav</v>
      </c>
      <c r="C27" t="str">
        <f t="shared" ca="1" si="0"/>
        <v xml:space="preserve"> </v>
      </c>
    </row>
    <row r="28" spans="1:3">
      <c r="A28" s="2" t="str">
        <f ca="1">Nasazení!B12</f>
        <v>J1</v>
      </c>
      <c r="B28" s="11" t="str">
        <f ca="1">Nasazení!C12</f>
        <v>10 SKP Hranice VI-Valšovice - Kutá Miloslava</v>
      </c>
      <c r="C28" t="str">
        <f t="shared" ca="1" si="0"/>
        <v xml:space="preserve"> </v>
      </c>
    </row>
    <row r="29" spans="1:3">
      <c r="A29" s="2" t="str">
        <f ca="1">Nasazení!B25</f>
        <v>J2</v>
      </c>
      <c r="B29" s="11" t="str">
        <f ca="1">Nasazení!C25</f>
        <v>23 PLUK Jablonec - Lukáš Petr</v>
      </c>
      <c r="C29" t="str">
        <f t="shared" ca="1" si="0"/>
        <v xml:space="preserve"> </v>
      </c>
    </row>
    <row r="30" spans="1:3">
      <c r="A30" s="2" t="str">
        <f ca="1">Nasazení!B28</f>
        <v>G2</v>
      </c>
      <c r="B30" s="11" t="str">
        <f ca="1">Nasazení!C28</f>
        <v>26 HAVAJ CB - Koreš st. Jiří</v>
      </c>
      <c r="C30" t="str">
        <f t="shared" ca="1" si="0"/>
        <v xml:space="preserve"> </v>
      </c>
    </row>
    <row r="31" spans="1:3">
      <c r="A31" s="2" t="str">
        <f ca="1">Nasazení!B10</f>
        <v>H1</v>
      </c>
      <c r="B31" s="11" t="str">
        <f ca="1">Nasazení!C10</f>
        <v>8 1. KPK Vrchlabí - Vedral Filip</v>
      </c>
      <c r="C31" t="str">
        <f t="shared" ca="1" si="0"/>
        <v xml:space="preserve"> </v>
      </c>
    </row>
    <row r="32" spans="1:3">
      <c r="A32" s="2" t="str">
        <f ca="1">Nasazení!B11</f>
        <v>I1</v>
      </c>
      <c r="B32" s="11" t="str">
        <f ca="1">Nasazení!C11</f>
        <v>9 Carreau Brno - Dudašková Michaela</v>
      </c>
      <c r="C32" t="str">
        <f t="shared" ca="1" si="0"/>
        <v xml:space="preserve"> </v>
      </c>
    </row>
    <row r="33" spans="1:3">
      <c r="A33" s="2" t="str">
        <f ca="1">Nasazení!B26</f>
        <v>I2</v>
      </c>
      <c r="B33" s="11" t="str">
        <f ca="1">Nasazení!C26</f>
        <v>24 SPORT Kolín - Šternberg Martin</v>
      </c>
      <c r="C33" t="str">
        <f t="shared" ca="1" si="0"/>
        <v xml:space="preserve"> </v>
      </c>
    </row>
    <row r="34" spans="1:3">
      <c r="A34" s="2" t="str">
        <f ca="1">Nasazení!B27</f>
        <v>H2</v>
      </c>
      <c r="B34" s="11" t="str">
        <f ca="1">Nasazení!C27</f>
        <v>25 1. Starobrněnský PK - Strouhalová Terezie</v>
      </c>
      <c r="C34" t="str">
        <f t="shared" ca="1" si="0"/>
        <v xml:space="preserve"> </v>
      </c>
    </row>
    <row r="35" spans="1:3">
      <c r="A35" s="2" t="str">
        <f ca="1">Nasazení!B50</f>
        <v>P3</v>
      </c>
      <c r="B35" s="11" t="str">
        <f ca="1">Nasazení!C50</f>
        <v>48 SK Pétanque Řepy - Hladík Jaroslav</v>
      </c>
      <c r="C35" t="str">
        <f t="shared" ref="C35:C66" ca="1" si="1">IF(T(A35)="","X"," ")</f>
        <v xml:space="preserve"> </v>
      </c>
    </row>
    <row r="36" spans="1:3">
      <c r="A36" s="2" t="str">
        <f ca="1">Nasazení!B49</f>
        <v>O3</v>
      </c>
      <c r="B36" s="11" t="str">
        <f ca="1">Nasazení!C49</f>
        <v>47 1. Starobrněnský PK - Petrželka Josef</v>
      </c>
      <c r="C36" t="str">
        <f t="shared" ca="1" si="1"/>
        <v xml:space="preserve"> </v>
      </c>
    </row>
    <row r="37" spans="1:3">
      <c r="A37" s="2" t="str">
        <f ca="1">Nasazení!B48</f>
        <v>N3</v>
      </c>
      <c r="B37" s="11" t="str">
        <f ca="1">Nasazení!C48</f>
        <v>46 SK Sahara Vědomice - Horáčková Simona</v>
      </c>
      <c r="C37" t="str">
        <f t="shared" ca="1" si="1"/>
        <v xml:space="preserve"> </v>
      </c>
    </row>
    <row r="38" spans="1:3">
      <c r="A38" s="2" t="str">
        <f ca="1">Nasazení!B47</f>
        <v>M3</v>
      </c>
      <c r="B38" s="11" t="str">
        <f ca="1">Nasazení!C47</f>
        <v>45 PSK Jihlava - Lujková Klára</v>
      </c>
      <c r="C38" t="str">
        <f t="shared" ca="1" si="1"/>
        <v xml:space="preserve"> </v>
      </c>
    </row>
    <row r="39" spans="1:3">
      <c r="A39" s="2" t="str">
        <f ca="1">Nasazení!B46</f>
        <v>L3</v>
      </c>
      <c r="B39" s="11" t="str">
        <f ca="1">Nasazení!C46</f>
        <v>44 SKP Kulová osma - Chmelař Ivo</v>
      </c>
      <c r="C39" t="str">
        <f t="shared" ca="1" si="1"/>
        <v xml:space="preserve"> </v>
      </c>
    </row>
    <row r="40" spans="1:3">
      <c r="A40" s="2" t="str">
        <f ca="1">Nasazení!B45</f>
        <v>K3</v>
      </c>
      <c r="B40" s="11" t="str">
        <f ca="1">Nasazení!C45</f>
        <v>43 SK Pétanque Řepy - Vodehnalová Jindra</v>
      </c>
      <c r="C40" t="str">
        <f t="shared" ca="1" si="1"/>
        <v xml:space="preserve"> </v>
      </c>
    </row>
    <row r="41" spans="1:3">
      <c r="A41" s="2" t="str">
        <f ca="1">Nasazení!B44</f>
        <v>J3</v>
      </c>
      <c r="B41" s="11" t="str">
        <f ca="1">Nasazení!C44</f>
        <v>42 SK Sahara Vědomice - Piller Tomáš</v>
      </c>
      <c r="C41" t="str">
        <f t="shared" ca="1" si="1"/>
        <v xml:space="preserve"> </v>
      </c>
    </row>
    <row r="42" spans="1:3">
      <c r="A42" s="2" t="str">
        <f ca="1">Nasazení!B43</f>
        <v>I3</v>
      </c>
      <c r="B42" s="11" t="str">
        <f ca="1">Nasazení!C43</f>
        <v>41 PC Sokol PP Hr. Králové - Melgr Jan</v>
      </c>
      <c r="C42" t="str">
        <f t="shared" ca="1" si="1"/>
        <v xml:space="preserve"> </v>
      </c>
    </row>
    <row r="43" spans="1:3">
      <c r="A43" s="2" t="str">
        <f ca="1">Nasazení!B35</f>
        <v>A3</v>
      </c>
      <c r="B43" s="11" t="str">
        <f ca="1">Nasazení!C35</f>
        <v>33 HRODE KRUMSÍN - Ptáčková Eliška</v>
      </c>
      <c r="C43" t="str">
        <f t="shared" ca="1" si="1"/>
        <v xml:space="preserve"> </v>
      </c>
    </row>
    <row r="44" spans="1:3">
      <c r="A44" s="2" t="str">
        <f ca="1">Nasazení!B42</f>
        <v>H3</v>
      </c>
      <c r="B44" s="11" t="str">
        <f ca="1">Nasazení!C42</f>
        <v>40 PC Mimo Done - Šíma Jaroslav</v>
      </c>
      <c r="C44" t="str">
        <f t="shared" ca="1" si="1"/>
        <v xml:space="preserve"> </v>
      </c>
    </row>
    <row r="45" spans="1:3">
      <c r="A45" s="2" t="str">
        <f ca="1">Nasazení!B36</f>
        <v>B3</v>
      </c>
      <c r="B45" s="11" t="str">
        <f ca="1">Nasazení!C36</f>
        <v>34 CdP Loděnice - Jirkovský Tomáš</v>
      </c>
      <c r="C45" t="str">
        <f t="shared" ca="1" si="1"/>
        <v xml:space="preserve"> </v>
      </c>
    </row>
    <row r="46" spans="1:3">
      <c r="A46" s="2" t="str">
        <f ca="1">Nasazení!B41</f>
        <v>G3</v>
      </c>
      <c r="B46" s="11" t="str">
        <f ca="1">Nasazení!C41</f>
        <v>39 Orel Řečkovice - Mareček Pavel</v>
      </c>
      <c r="C46" t="str">
        <f t="shared" ca="1" si="1"/>
        <v xml:space="preserve"> </v>
      </c>
    </row>
    <row r="47" spans="1:3">
      <c r="A47" s="2" t="str">
        <f ca="1">Nasazení!B37</f>
        <v>C3</v>
      </c>
      <c r="B47" s="11" t="str">
        <f ca="1">Nasazení!C37</f>
        <v>35 PKT Velký Šanc - Horálek Jiří</v>
      </c>
      <c r="C47" t="str">
        <f t="shared" ca="1" si="1"/>
        <v xml:space="preserve"> </v>
      </c>
    </row>
    <row r="48" spans="1:3">
      <c r="A48" s="2" t="str">
        <f ca="1">Nasazení!B40</f>
        <v>F3</v>
      </c>
      <c r="B48" s="11" t="str">
        <f ca="1">Nasazení!C40</f>
        <v>38 UBU Únětice - Křížek Evžen</v>
      </c>
      <c r="C48" t="str">
        <f t="shared" ca="1" si="1"/>
        <v xml:space="preserve"> </v>
      </c>
    </row>
    <row r="49" spans="1:3">
      <c r="A49" s="2" t="str">
        <f ca="1">Nasazení!B38</f>
        <v>D3</v>
      </c>
      <c r="B49" s="11" t="str">
        <f ca="1">Nasazení!C38</f>
        <v>36 HRODE KRUMSÍN - Rolínek Michal</v>
      </c>
      <c r="C49" t="str">
        <f t="shared" ca="1" si="1"/>
        <v xml:space="preserve"> </v>
      </c>
    </row>
    <row r="50" spans="1:3">
      <c r="A50" s="2" t="str">
        <f ca="1">Nasazení!B39</f>
        <v>E3</v>
      </c>
      <c r="B50" s="11" t="str">
        <f ca="1">Nasazení!C39</f>
        <v>37 PC Sokol Lipník - Šplechtová Dana</v>
      </c>
      <c r="C50" t="str">
        <f t="shared" ca="1" si="1"/>
        <v xml:space="preserve"> </v>
      </c>
    </row>
    <row r="51" spans="1:3">
      <c r="A51" s="2" t="str">
        <f ca="1">Nasazení!B87</f>
        <v/>
      </c>
      <c r="B51" s="11" t="str">
        <f ca="1">Nasazení!C87</f>
        <v/>
      </c>
      <c r="C51" t="str">
        <f t="shared" ca="1" si="1"/>
        <v>X</v>
      </c>
    </row>
    <row r="52" spans="1:3">
      <c r="A52" s="2" t="str">
        <f ca="1">Nasazení!B51</f>
        <v>P4</v>
      </c>
      <c r="B52" s="11" t="str">
        <f ca="1">Nasazení!C51</f>
        <v>49 PK Polouvsí - Grepl Zbyněk</v>
      </c>
      <c r="C52" t="str">
        <f t="shared" ca="1" si="1"/>
        <v xml:space="preserve"> </v>
      </c>
    </row>
    <row r="53" spans="1:3">
      <c r="A53" s="2" t="str">
        <f ca="1">Nasazení!B86</f>
        <v/>
      </c>
      <c r="B53" s="11" t="str">
        <f ca="1">Nasazení!C86</f>
        <v/>
      </c>
      <c r="C53" t="str">
        <f t="shared" ca="1" si="1"/>
        <v>X</v>
      </c>
    </row>
    <row r="54" spans="1:3">
      <c r="A54" s="2" t="str">
        <f ca="1">Nasazení!B52</f>
        <v>O4</v>
      </c>
      <c r="B54" s="11" t="str">
        <f ca="1">Nasazení!C52</f>
        <v>50 PK Polouvsí - Rusek Luboš</v>
      </c>
      <c r="C54" t="str">
        <f t="shared" ca="1" si="1"/>
        <v xml:space="preserve"> </v>
      </c>
    </row>
    <row r="55" spans="1:3">
      <c r="A55" s="2" t="str">
        <f ca="1">Nasazení!B85</f>
        <v/>
      </c>
      <c r="B55" s="11" t="str">
        <f ca="1">Nasazení!C85</f>
        <v/>
      </c>
      <c r="C55" t="str">
        <f t="shared" ca="1" si="1"/>
        <v>X</v>
      </c>
    </row>
    <row r="56" spans="1:3">
      <c r="A56" s="2" t="str">
        <f ca="1">Nasazení!B53</f>
        <v>N4</v>
      </c>
      <c r="B56" s="11" t="str">
        <f ca="1">Nasazení!C53</f>
        <v>51 UBU Únětice - Fuksa Petr</v>
      </c>
      <c r="C56" t="str">
        <f t="shared" ca="1" si="1"/>
        <v xml:space="preserve"> </v>
      </c>
    </row>
    <row r="57" spans="1:3">
      <c r="A57" s="2" t="str">
        <f ca="1">Nasazení!B84</f>
        <v/>
      </c>
      <c r="B57" s="11" t="str">
        <f ca="1">Nasazení!C84</f>
        <v/>
      </c>
      <c r="C57" t="str">
        <f t="shared" ca="1" si="1"/>
        <v>X</v>
      </c>
    </row>
    <row r="58" spans="1:3">
      <c r="A58" s="2" t="str">
        <f ca="1">Nasazení!B54</f>
        <v>M4</v>
      </c>
      <c r="B58" s="11" t="str">
        <f ca="1">Nasazení!C54</f>
        <v>52 Carreau Brno - Grepl Kamila</v>
      </c>
      <c r="C58" t="str">
        <f t="shared" ca="1" si="1"/>
        <v xml:space="preserve"> </v>
      </c>
    </row>
    <row r="59" spans="1:3">
      <c r="A59" s="2" t="str">
        <f ca="1">Nasazení!B83</f>
        <v/>
      </c>
      <c r="B59" s="11" t="str">
        <f ca="1">Nasazení!C83</f>
        <v/>
      </c>
      <c r="C59" t="str">
        <f t="shared" ca="1" si="1"/>
        <v>X</v>
      </c>
    </row>
    <row r="60" spans="1:3">
      <c r="A60" s="2" t="str">
        <f ca="1">Nasazení!B55</f>
        <v>L4</v>
      </c>
      <c r="B60" s="11" t="str">
        <f ca="1">Nasazení!C55</f>
        <v>53 PC Sokol Velim - Sudoměřický Tomáš</v>
      </c>
      <c r="C60" t="str">
        <f t="shared" ca="1" si="1"/>
        <v xml:space="preserve"> </v>
      </c>
    </row>
    <row r="61" spans="1:3">
      <c r="A61" s="2" t="str">
        <f ca="1">Nasazení!B82</f>
        <v/>
      </c>
      <c r="B61" s="11" t="str">
        <f ca="1">Nasazení!C82</f>
        <v/>
      </c>
      <c r="C61" t="str">
        <f t="shared" ca="1" si="1"/>
        <v>X</v>
      </c>
    </row>
    <row r="62" spans="1:3">
      <c r="A62" s="2" t="str">
        <f ca="1">Nasazení!B56</f>
        <v>K4</v>
      </c>
      <c r="B62" s="11" t="str">
        <f ca="1">Nasazení!C56</f>
        <v>54 PO Chotěboř - Holenda Milan</v>
      </c>
      <c r="C62" t="str">
        <f t="shared" ca="1" si="1"/>
        <v xml:space="preserve"> </v>
      </c>
    </row>
    <row r="63" spans="1:3">
      <c r="A63" s="2" t="str">
        <f ca="1">Nasazení!B81</f>
        <v/>
      </c>
      <c r="B63" s="11" t="str">
        <f ca="1">Nasazení!C81</f>
        <v/>
      </c>
      <c r="C63" t="str">
        <f t="shared" ca="1" si="1"/>
        <v>X</v>
      </c>
    </row>
    <row r="64" spans="1:3">
      <c r="A64" s="2" t="str">
        <f ca="1">Nasazení!B57</f>
        <v>J4</v>
      </c>
      <c r="B64" s="11" t="str">
        <f ca="1">Nasazení!C57</f>
        <v>55 BePeC 2016 - Horák Libor</v>
      </c>
      <c r="C64" t="str">
        <f t="shared" ca="1" si="1"/>
        <v xml:space="preserve"> </v>
      </c>
    </row>
    <row r="65" spans="1:3">
      <c r="A65" s="2" t="str">
        <f ca="1">Nasazení!B80</f>
        <v/>
      </c>
      <c r="B65" s="11" t="str">
        <f ca="1">Nasazení!C80</f>
        <v/>
      </c>
      <c r="C65" t="str">
        <f t="shared" ca="1" si="1"/>
        <v>X</v>
      </c>
    </row>
    <row r="66" spans="1:3">
      <c r="A66" s="2" t="str">
        <f ca="1">Nasazení!B58</f>
        <v>I4</v>
      </c>
      <c r="B66" s="11" t="str">
        <f ca="1">Nasazení!C58</f>
        <v>56 PSK Jihlava - Dyba Daniel</v>
      </c>
      <c r="C66" t="str">
        <f t="shared" ca="1" si="1"/>
        <v xml:space="preserve"> </v>
      </c>
    </row>
    <row r="67" spans="1:3">
      <c r="A67" s="2" t="str">
        <f ca="1">Nasazení!B79</f>
        <v/>
      </c>
      <c r="B67" s="11" t="str">
        <f ca="1">Nasazení!C79</f>
        <v/>
      </c>
      <c r="C67" t="str">
        <f t="shared" ref="C67:C98" ca="1" si="2">IF(T(A67)="","X"," ")</f>
        <v>X</v>
      </c>
    </row>
    <row r="68" spans="1:3">
      <c r="A68" s="2" t="str">
        <f ca="1">Nasazení!B59</f>
        <v>H4</v>
      </c>
      <c r="B68" s="11" t="str">
        <f ca="1">Nasazení!C59</f>
        <v>57 PSK Jihlava - Krupicová Natálie</v>
      </c>
      <c r="C68" t="str">
        <f t="shared" ca="1" si="2"/>
        <v xml:space="preserve"> </v>
      </c>
    </row>
    <row r="69" spans="1:3">
      <c r="A69" s="2" t="str">
        <f ca="1">Nasazení!B78</f>
        <v/>
      </c>
      <c r="B69" s="11" t="str">
        <f ca="1">Nasazení!C78</f>
        <v/>
      </c>
      <c r="C69" t="str">
        <f t="shared" ca="1" si="2"/>
        <v>X</v>
      </c>
    </row>
    <row r="70" spans="1:3">
      <c r="A70" s="2" t="str">
        <f ca="1">Nasazení!B60</f>
        <v>G4</v>
      </c>
      <c r="B70" s="11" t="str">
        <f ca="1">Nasazení!C60</f>
        <v>58 PSK Jihlava - Žáková Naděžda</v>
      </c>
      <c r="C70" t="str">
        <f t="shared" ca="1" si="2"/>
        <v xml:space="preserve"> </v>
      </c>
    </row>
    <row r="71" spans="1:3">
      <c r="A71" s="2" t="str">
        <f ca="1">Nasazení!B77</f>
        <v/>
      </c>
      <c r="B71" s="11" t="str">
        <f ca="1">Nasazení!C77</f>
        <v/>
      </c>
      <c r="C71" t="str">
        <f t="shared" ca="1" si="2"/>
        <v>X</v>
      </c>
    </row>
    <row r="72" spans="1:3">
      <c r="A72" s="2" t="str">
        <f ca="1">Nasazení!B61</f>
        <v>F4</v>
      </c>
      <c r="B72" s="11" t="str">
        <f ca="1">Nasazení!C61</f>
        <v>59 PSK Jihlava - Půža Jan</v>
      </c>
      <c r="C72" t="str">
        <f t="shared" ca="1" si="2"/>
        <v xml:space="preserve"> </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114300</xdr:colOff>
                    <xdr:row>0</xdr:row>
                    <xdr:rowOff>38100</xdr:rowOff>
                  </from>
                  <to>
                    <xdr:col>4</xdr:col>
                    <xdr:colOff>484414</xdr:colOff>
                    <xdr:row>1</xdr:row>
                    <xdr:rowOff>517071</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2024-06-01T11:44:46Z</cp:lastPrinted>
  <dcterms:created xsi:type="dcterms:W3CDTF">1998-08-08T11:38:32Z</dcterms:created>
  <dcterms:modified xsi:type="dcterms:W3CDTF">2024-06-02T20:43:04Z</dcterms:modified>
  <cp:category>PETANQUE</cp:category>
</cp:coreProperties>
</file>